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K:\AFC\ODV - organismo di vigilanza reportistica\report\2024\01072024-30092024\"/>
    </mc:Choice>
  </mc:AlternateContent>
  <xr:revisionPtr revIDLastSave="0" documentId="13_ncr:1_{204F4E9F-40A2-46F1-9F8B-513C8C79F76C}" xr6:coauthVersionLast="47" xr6:coauthVersionMax="47" xr10:uidLastSave="{00000000-0000-0000-0000-000000000000}"/>
  <bookViews>
    <workbookView xWindow="-120" yWindow="-120" windowWidth="29040" windowHeight="15840" tabRatio="597" xr2:uid="{00000000-000D-0000-FFFF-FFFF00000000}"/>
  </bookViews>
  <sheets>
    <sheet name="Riepilogo Contratti Passivi" sheetId="1" r:id="rId1"/>
    <sheet name="Riepilogo Contratti Attivi" sheetId="2" r:id="rId2"/>
  </sheets>
  <definedNames>
    <definedName name="_xlnm._FilterDatabase" localSheetId="1" hidden="1">'Riepilogo Contratti Attivi'!$B$2:$J$7</definedName>
    <definedName name="_xlnm._FilterDatabase" localSheetId="0" hidden="1">'Riepilogo Contratti Passivi'!$B$2:$N$262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3" i="1" l="1"/>
  <c r="K153" i="1"/>
  <c r="L213" i="1"/>
  <c r="K213" i="1"/>
  <c r="L238" i="1"/>
  <c r="K238" i="1"/>
  <c r="L130" i="1"/>
  <c r="K130" i="1"/>
  <c r="L41" i="1"/>
  <c r="K41" i="1"/>
  <c r="L190" i="1"/>
  <c r="L234" i="1" l="1"/>
  <c r="L233" i="1"/>
  <c r="K233" i="1"/>
  <c r="L47" i="1"/>
  <c r="K47" i="1"/>
  <c r="L218" i="1"/>
  <c r="K218" i="1"/>
  <c r="L117" i="1"/>
  <c r="K117" i="1"/>
  <c r="L191" i="1"/>
  <c r="K191" i="1"/>
  <c r="L244" i="1"/>
  <c r="K244" i="1"/>
  <c r="I7" i="2" l="1"/>
  <c r="H7" i="2"/>
  <c r="I5" i="2"/>
  <c r="L164" i="1"/>
  <c r="K164" i="1"/>
  <c r="L156" i="1"/>
  <c r="L225" i="1"/>
  <c r="K225" i="1"/>
  <c r="L18" i="1"/>
  <c r="K18" i="1"/>
  <c r="K139" i="1"/>
  <c r="L139" i="1"/>
  <c r="K64" i="1" l="1"/>
  <c r="L64" i="1"/>
  <c r="L131" i="1"/>
  <c r="I3" i="2"/>
  <c r="L162" i="1"/>
  <c r="L23" i="1"/>
  <c r="L182" i="1"/>
  <c r="L127" i="1" l="1"/>
  <c r="L115" i="1" l="1"/>
  <c r="L170" i="1" l="1"/>
  <c r="L36" i="1"/>
  <c r="L161" i="1"/>
  <c r="L214" i="1" l="1"/>
  <c r="L99" i="1" l="1"/>
  <c r="I4" i="2" l="1"/>
  <c r="L110" i="1" l="1"/>
  <c r="L31" i="1" l="1"/>
  <c r="L228" i="1" l="1"/>
  <c r="L40" i="1"/>
  <c r="L89" i="1"/>
  <c r="L215" i="1"/>
  <c r="L135" i="1"/>
  <c r="I6" i="2" l="1"/>
  <c r="L15" i="1"/>
  <c r="L219" i="1"/>
  <c r="L174" i="1" l="1"/>
  <c r="L208" i="1"/>
  <c r="L194" i="1" l="1"/>
  <c r="L185" i="1" l="1"/>
  <c r="L205" i="1" l="1"/>
  <c r="L177" i="1"/>
  <c r="F218" i="1" l="1"/>
  <c r="L148" i="1"/>
  <c r="L119" i="1"/>
  <c r="L95" i="1" l="1"/>
  <c r="L7" i="1" l="1"/>
  <c r="L158" i="1" l="1"/>
  <c r="L169" i="1"/>
  <c r="L180" i="1" l="1"/>
  <c r="L204" i="1" l="1"/>
  <c r="L171" i="1" l="1"/>
  <c r="L166" i="1" l="1"/>
  <c r="L163" i="1" l="1"/>
  <c r="L197" i="1" l="1"/>
  <c r="L188" i="1" l="1"/>
  <c r="L142" i="1"/>
  <c r="L38" i="1" l="1"/>
  <c r="L14" i="1"/>
  <c r="L137" i="1" l="1"/>
  <c r="L150" i="1" l="1"/>
  <c r="L151" i="1"/>
  <c r="L118" i="1" l="1"/>
  <c r="L157" i="1"/>
  <c r="L91" i="1"/>
  <c r="L116" i="1" l="1"/>
  <c r="L149" i="1" l="1"/>
  <c r="L80" i="1" l="1"/>
  <c r="L112" i="1" l="1"/>
  <c r="L146" i="1"/>
  <c r="L37" i="1"/>
  <c r="L92" i="1" l="1"/>
  <c r="L45" i="1" l="1"/>
  <c r="L93" i="1"/>
  <c r="L100" i="1" l="1"/>
  <c r="L59" i="1" l="1"/>
  <c r="L138" i="1" l="1"/>
  <c r="L103" i="1" l="1"/>
  <c r="L54" i="1" l="1"/>
  <c r="L85" i="1" l="1"/>
  <c r="L68" i="1"/>
  <c r="L132" i="1" l="1"/>
  <c r="L126" i="1"/>
  <c r="L83" i="1"/>
  <c r="L105" i="1" l="1"/>
  <c r="L77" i="1"/>
  <c r="L102" i="1" l="1"/>
  <c r="L121" i="1"/>
  <c r="L70" i="1" l="1"/>
  <c r="L87" i="1" l="1"/>
  <c r="L97" i="1" l="1"/>
  <c r="L42" i="1"/>
  <c r="L44" i="1" l="1"/>
  <c r="L67" i="1"/>
  <c r="L46" i="1" l="1"/>
  <c r="G59" i="1" l="1"/>
  <c r="L61" i="1" l="1"/>
  <c r="L86" i="1"/>
  <c r="G31" i="1" l="1"/>
  <c r="L71" i="1" l="1"/>
  <c r="L49" i="1" l="1"/>
  <c r="L51" i="1" l="1"/>
  <c r="L53" i="1" l="1"/>
  <c r="L43" i="1" l="1"/>
  <c r="L69" i="1"/>
  <c r="G69" i="1" l="1"/>
  <c r="L26" i="1" l="1"/>
  <c r="L21" i="1"/>
  <c r="L76" i="1" l="1"/>
  <c r="L90" i="1"/>
  <c r="L62" i="1" l="1"/>
  <c r="L75" i="1" l="1"/>
  <c r="L30" i="1" l="1"/>
  <c r="L55" i="1" l="1"/>
  <c r="L28" i="1" l="1"/>
  <c r="L39" i="1"/>
  <c r="L63" i="1" l="1"/>
  <c r="L33" i="1" l="1"/>
  <c r="L4" i="1"/>
  <c r="L65" i="1" l="1"/>
  <c r="G65" i="1"/>
  <c r="L52" i="1"/>
  <c r="L60" i="1" l="1"/>
  <c r="L35" i="1" l="1"/>
  <c r="L24" i="1" l="1"/>
  <c r="L50" i="1" l="1"/>
  <c r="L32" i="1" l="1"/>
  <c r="L25" i="1" l="1"/>
  <c r="L34" i="1" l="1"/>
  <c r="L19" i="1"/>
  <c r="G35" i="1" l="1"/>
  <c r="L20" i="1" l="1"/>
  <c r="L5" i="1" l="1"/>
</calcChain>
</file>

<file path=xl/sharedStrings.xml><?xml version="1.0" encoding="utf-8"?>
<sst xmlns="http://schemas.openxmlformats.org/spreadsheetml/2006/main" count="1579" uniqueCount="966">
  <si>
    <t>FORNITORE</t>
  </si>
  <si>
    <t>NATURA INCARICO</t>
  </si>
  <si>
    <t>DATA SOTTOSCRIZIONE</t>
  </si>
  <si>
    <t>14/04/2016-13/04/2018</t>
  </si>
  <si>
    <t>- Giudizio sul bilancio 
- regolare tenuta della contabilità
- revisione contabile del reporting package annuale e revisione contabile limitata del reporting package semestrale
- verifica modelli 770 semplificato e ordinario
- verifica modelli dichiarazione dei redditi Unico e IRAP</t>
  </si>
  <si>
    <t>Servizi di conservazione ditigale di documenti rilevanti ai fini tributari</t>
  </si>
  <si>
    <t>Triennio 2015-2017</t>
  </si>
  <si>
    <t>DELOITTE &amp; TOUCHE SpA/M4</t>
  </si>
  <si>
    <t>si veda contratto principale SIRTI SpA/M4</t>
  </si>
  <si>
    <t>L'accordo regola i rapporti tra Fastweb, M4 e SIRTI per la corretta esecuzione dell'intervento di risoluzione delle interferenze di cui al provvedimento del Comune di Milano, ordinanza 5/2016 del 30/06/2016 nonché ulteriori interventi di risoluzione interferenze richiesti dal Comune con ulteriori ordinanze</t>
  </si>
  <si>
    <t>L'accordo regola i rapporti tra TIM, M4 e SIRTI per la corretta esecuzione dell'intervento di risoluzione delle interferenze di cui al provvedimento del Comune di Milano PROT. pg 149700/2016 del 18/3/2016 nonché ulteriori interventi di risoluzione interferenze richiesti dal Comune con ulteriori ordinanze</t>
  </si>
  <si>
    <t>L'accordo regola i rapporti tra VERIZON, M4 e SIRTI per la corretta esecuzione dell'intervento di risoluzione delle interferenze di cui al provvedimento del Comune di Milano ordinanza n. 3/2016 del 30/6/2016  nonché ulteriori interventi di risoluzione interferenze richiesti dal Comune con ulteriori ordinanze</t>
  </si>
  <si>
    <t>L'accordo regola i rapporti tra METROWEB, M4 e SIRTI per la corretta esecuzione dell'intervento di risoluzione delle interferenze di cui al provvedimento del Comune di Milano ordinanza n. 7/2016 del 30/6/2016  nonché ulteriori interventi di risoluzione interferenze richiesti dal Comune con ulteriori ordinanze</t>
  </si>
  <si>
    <t>GEOCONSULT SERVICE Srl</t>
  </si>
  <si>
    <t>Affidamento temporaneo del servizio di coordinamento della Sicurezza in fase di Progettazione e di coordinamento della sicurezza in fase di esecuzione nonché di referente di cantieri ai sensi dell'art. 7 del protocollo di Legalità nell'ambito del progetto definitivo esecutivo e della realizzazione dei lavori di costruzione della M4</t>
  </si>
  <si>
    <t>Consulenza assicurativa successiva alla fase di financial close</t>
  </si>
  <si>
    <t>MARSH SpA</t>
  </si>
  <si>
    <t>Consulenza tecnica e ambientale per i finanziatori - monitoraggio bimestrale durante la fase di costruzione</t>
  </si>
  <si>
    <t>DURATA / SCADENZA</t>
  </si>
  <si>
    <t>ARUP ITALIA Srl</t>
  </si>
  <si>
    <t>Servizi di assistenza legale per M4 SPA</t>
  </si>
  <si>
    <t>Servizio di licenza d'uso piattaforma informatica Legolas</t>
  </si>
  <si>
    <t>Affidamento delle attività di consulente legale in relazione al contratto di finanziamento project per la progettazione, costruzione e gestione della Linea Metropolitana di Milano S. Cristoforo - Linate</t>
  </si>
  <si>
    <t>Servizi di consulenza legale in relazione all'esecuzione del contratto di finanziamento relativo alla progettazione, alla costruzione e all'esercizio  della M4_ prestazioni svolte dallo studio successivamente alla prima erogazione (31/07/2015) ai sensi del Contratto di Finanziamento in qualità di consulente legale dei Finanziatori</t>
  </si>
  <si>
    <t>Il Contratto viene rinnovato di anno in anno salvo disdetta entro la data del 15 ottobre.</t>
  </si>
  <si>
    <t>Rate orario 9,35759 e importo ticket 11,000</t>
  </si>
  <si>
    <t>SALINI-IMPREGILO SpA</t>
  </si>
  <si>
    <t>ADECCO ITALIA SpA</t>
  </si>
  <si>
    <t>LEGANCE AVVOCATI ASSOCIATI</t>
  </si>
  <si>
    <t>3.800 € per utenze fino a 4 postazioni
2.800 € per utenze oltre a 5 postazioni</t>
  </si>
  <si>
    <t>Disciplinare di incarico per lo svolgimento delle attività del Broker di assicurazione a favore di SPV LINEA M4 fuori dall'ambito delle polizze contrattuali</t>
  </si>
  <si>
    <t>nessun compenso previsto</t>
  </si>
  <si>
    <t>AON SpA</t>
  </si>
  <si>
    <t>Legale che segue la Causa Immobiliare Ronchetto</t>
  </si>
  <si>
    <t>Rate orario 11,8421 e importo ticket 11,000</t>
  </si>
  <si>
    <t>Contratto lavoro a tempo determinato (Arena) - proroga</t>
  </si>
  <si>
    <t>Service SAP - rinnovo</t>
  </si>
  <si>
    <t>CONSUL SYSTEM</t>
  </si>
  <si>
    <t>Accordo quadro di collaborazione e di cessione dei diritti relativi a Certificati bianchi (TEE)</t>
  </si>
  <si>
    <t>fino adempimento Accordi Individuali</t>
  </si>
  <si>
    <t>prezzo medio ponderato TEE rilasciato dal GSE scontato del 15%</t>
  </si>
  <si>
    <t>Incarico apposizione visto di conformità Dichiarazione IVA 2017</t>
  </si>
  <si>
    <t>All'apposizione della sottoscrizione della Dichiarazione IVA 2017</t>
  </si>
  <si>
    <t>Prestazioni integrative sui bilanci chiusi al 31/12/2016 e 31/12/2017 (impatto nuovi Principi Contabili a seguito D.Lgs 139/2015)</t>
  </si>
  <si>
    <t>Biennio 2016-2017</t>
  </si>
  <si>
    <t>Leasing ed assistenza tecnica full service su macchine fotocopiatrici</t>
  </si>
  <si>
    <t>BNP PARIBAS LEASING SOLUTIONS /DUPLEX</t>
  </si>
  <si>
    <t>SGS SERTEC</t>
  </si>
  <si>
    <t>Responsabile Lavori</t>
  </si>
  <si>
    <t>Servizio di pulizie uffici M4</t>
  </si>
  <si>
    <t>DESIREE soc. coop.</t>
  </si>
  <si>
    <t>Realizzazione opere Civili di interconnessione reti - Prima fase</t>
  </si>
  <si>
    <t>a completamento delle attività</t>
  </si>
  <si>
    <t>54.467,25€</t>
  </si>
  <si>
    <t>Realizzazione cameretta via Foppa Washington</t>
  </si>
  <si>
    <t>18.000€</t>
  </si>
  <si>
    <t xml:space="preserve">SGI di GIURIOLO ENRICO &amp; C. SAS </t>
  </si>
  <si>
    <t>5.000€</t>
  </si>
  <si>
    <t>termine del giudizio causa Immobiliare Ronchetto</t>
  </si>
  <si>
    <t>€ 19.740 più variabile a consumo in base al numero di copie fatte</t>
  </si>
  <si>
    <t xml:space="preserve">36.800€ </t>
  </si>
  <si>
    <t>COMUNE DI MILANO</t>
  </si>
  <si>
    <t>12 ANNI</t>
  </si>
  <si>
    <t>Affitto uffici P.zza Castello</t>
  </si>
  <si>
    <t>183.825€ + rivalutazione annuale ISTAT</t>
  </si>
  <si>
    <t>STUDIO GIOVANARDI E ASSOCIATI</t>
  </si>
  <si>
    <t>Consulenza legale causa M4/Metroweb SpA</t>
  </si>
  <si>
    <t>8.000€ prima fase
15.000€ assistenza giudiziale</t>
  </si>
  <si>
    <t>termine attività di difesa per conto della Società M4</t>
  </si>
  <si>
    <t>INTEGRA DOCUMENT MANAGEMENT S.R.L./M4</t>
  </si>
  <si>
    <t>METROPOLITANA MILANESE SpA</t>
  </si>
  <si>
    <t>P.IVA/C.F.</t>
  </si>
  <si>
    <t>01594820449</t>
  </si>
  <si>
    <t>01146510498</t>
  </si>
  <si>
    <t>IMPORTO CONTRATTUALE/ORDINE</t>
  </si>
  <si>
    <t>INNOVA MCA SRL</t>
  </si>
  <si>
    <t>CAR CENTRAL PARKING SRL</t>
  </si>
  <si>
    <t>09502580153</t>
  </si>
  <si>
    <t>08236990969</t>
  </si>
  <si>
    <t>08396260963</t>
  </si>
  <si>
    <t>Rilascio di un parere legale in tema di disciplina delle assunzioni da parte delle società partecipate da Amministrazioni pubbliche in relazione alle novità introdotte dal D.lgs 175/2016</t>
  </si>
  <si>
    <t>Servizio di assistenza in ambito salute, sicurezza e antincendio degli uffici di M4 SPA e di formazione per il personale dipendente</t>
  </si>
  <si>
    <t xml:space="preserve">Contratto di affitto di n. 25 spazi di sosta all'interno dell'autosilo a disposizione del personale dell'Università degli Studi di Milano </t>
  </si>
  <si>
    <t>non oltre 90 gg dalla sottoscrizione dell'incarico</t>
  </si>
  <si>
    <t>annuale</t>
  </si>
  <si>
    <t>1.500€+250€ per gestione sicurezza e apprestamenti antincendio
4 ore * 4 sessioni *300 euro * organico in forza per corso di formazion LBG generale
4 ore * 4 sessioni *300 euro * organico in forza per corso di formazion Lbsb specifico</t>
  </si>
  <si>
    <t>GEOTECHNICAL DESIGN GROUP SRL</t>
  </si>
  <si>
    <t xml:space="preserve">stimati 36 mesi, periodo equivalente a tutta la durata del cantiere per la relizzazione della futura stazione Sforza Policlinico </t>
  </si>
  <si>
    <t>ITALIANA AUDION SRL</t>
  </si>
  <si>
    <t xml:space="preserve">Noleggio affrancatrice postale </t>
  </si>
  <si>
    <t>annuale con tacito rinnovo salvo disdetta da inviare tramite raccomandata A/R entro 30gg dalla scadenza del contratto</t>
  </si>
  <si>
    <t>01742310152</t>
  </si>
  <si>
    <t>Affidamento delle attività di Direzione Lavori relative alla fase di progettazione esecutiva, costruttiva e realizzativa della Linea Metropolitana M4</t>
  </si>
  <si>
    <t>EXPROPRIANDA Srl</t>
  </si>
  <si>
    <t>INTERFIELD</t>
  </si>
  <si>
    <t>02833870153</t>
  </si>
  <si>
    <t>Servizio di consulente del lavoro ed amministrazione del personale</t>
  </si>
  <si>
    <t>tra anni dalla sottoscrizione</t>
  </si>
  <si>
    <t>37.500 escluso Iva</t>
  </si>
  <si>
    <t xml:space="preserve">DANOVI &amp; GIORGIANNI ASSOCIATI E COMMERCIALISTI </t>
  </si>
  <si>
    <t>Advisor fiscale</t>
  </si>
  <si>
    <t>Il compenso per le prestazioni svolte nel periodo 15/6/2016-28/02/2017 e quelli che saranno dovuti per il servizio reso dal 01/03/17-30/04/17 non potranno superare i 40.000€ iva esclusa</t>
  </si>
  <si>
    <r>
      <rPr>
        <sz val="11"/>
        <color theme="1"/>
        <rFont val="Calibri"/>
        <family val="2"/>
      </rPr>
      <t>40.000 €</t>
    </r>
  </si>
  <si>
    <r>
      <t xml:space="preserve">importo massimo </t>
    </r>
    <r>
      <rPr>
        <sz val="11"/>
        <color theme="1"/>
        <rFont val="Calibri"/>
        <family val="2"/>
      </rPr>
      <t>60.000 €</t>
    </r>
  </si>
  <si>
    <r>
      <t xml:space="preserve">importo massimo </t>
    </r>
    <r>
      <rPr>
        <sz val="11"/>
        <color theme="1"/>
        <rFont val="Calibri"/>
        <family val="2"/>
      </rPr>
      <t>209.000 €</t>
    </r>
  </si>
  <si>
    <t>200.000€ oltre CPA e Iva</t>
  </si>
  <si>
    <r>
      <rPr>
        <sz val="11"/>
        <color theme="1"/>
        <rFont val="Calibri"/>
        <family val="2"/>
      </rPr>
      <t xml:space="preserve">18.400€
9.500€ </t>
    </r>
    <r>
      <rPr>
        <sz val="11"/>
        <color theme="1"/>
        <rFont val="Calibri"/>
        <family val="2"/>
        <scheme val="minor"/>
      </rPr>
      <t>(ANNUALE)</t>
    </r>
  </si>
  <si>
    <r>
      <t xml:space="preserve">Revisione Legale: 22.000€
Revisione Reporting package semestrale: 3.000€
Verifica regolare tenuta della contabilità: 4.000€
sottoscrizione dichiarazioni fiscali: 1.000€
TOTALE: </t>
    </r>
    <r>
      <rPr>
        <sz val="11"/>
        <color theme="1"/>
        <rFont val="Calibri"/>
        <family val="2"/>
      </rPr>
      <t>30.000 (annuale)</t>
    </r>
    <r>
      <rPr>
        <sz val="11"/>
        <color theme="1"/>
        <rFont val="Calibri"/>
        <family val="2"/>
        <scheme val="minor"/>
      </rPr>
      <t xml:space="preserve">
Si aggiungono rimborsi spese fino al 5% del valore contrattuale</t>
    </r>
  </si>
  <si>
    <r>
      <rPr>
        <sz val="11"/>
        <color theme="1"/>
        <rFont val="Calibri"/>
        <family val="2"/>
      </rPr>
      <t>4.000€ (per visto di conformità)</t>
    </r>
    <r>
      <rPr>
        <sz val="11"/>
        <color theme="1"/>
        <rFont val="Calibri"/>
        <family val="2"/>
        <scheme val="minor"/>
      </rPr>
      <t xml:space="preserve">
Si aggiungono rimborsi spese fino al 5% del valore contrattuale</t>
    </r>
  </si>
  <si>
    <r>
      <t xml:space="preserve">Valore massimo </t>
    </r>
    <r>
      <rPr>
        <sz val="11"/>
        <color theme="1"/>
        <rFont val="Calibri"/>
        <family val="2"/>
      </rPr>
      <t>10.000.000€</t>
    </r>
  </si>
  <si>
    <t>ARCUS FINANCIAL ADVISORS SRL</t>
  </si>
  <si>
    <t xml:space="preserve">Consulente della società per la costruzione e assistenza di un modello finanziario 
</t>
  </si>
  <si>
    <t>136.350 escluso Iva e contributi previdenziali</t>
  </si>
  <si>
    <t>ALD AUTOMOTIVE</t>
  </si>
  <si>
    <t>01924961004</t>
  </si>
  <si>
    <t xml:space="preserve">Noleggio auto </t>
  </si>
  <si>
    <t>48 mesi</t>
  </si>
  <si>
    <t>24.672 escluso iva</t>
  </si>
  <si>
    <t>Consulente Hedging</t>
  </si>
  <si>
    <t>36.000 escluso Iva</t>
  </si>
  <si>
    <t>LEASYS SPA</t>
  </si>
  <si>
    <t>06714021000</t>
  </si>
  <si>
    <t xml:space="preserve">60 mesi </t>
  </si>
  <si>
    <t xml:space="preserve">Noleggio n. 2 auto </t>
  </si>
  <si>
    <t>Contratto lavoro a tempo determinato (Pommella) - proroga</t>
  </si>
  <si>
    <t>AVV.TO STEFANO NESPOR</t>
  </si>
  <si>
    <t>03353590155</t>
  </si>
  <si>
    <t>Rilascio di un parere legale in merito ai profili di responsabilità della società concessionaria in materia di sicurezza sui luoghi di lavoro e ambientale in relazione ai cantieri e ai lavori di costruzione della linea M4 della metropolitana</t>
  </si>
  <si>
    <t>a completamento delle attività che si concluderanno entro 20 giorni dalla data di sottoscrizione</t>
  </si>
  <si>
    <t>6.000€ oltre Iva e contributi previdenziali</t>
  </si>
  <si>
    <t>ATTIVO</t>
  </si>
  <si>
    <t>TERMINATO</t>
  </si>
  <si>
    <t>35.280€ oltre iva e contributi previdenziali</t>
  </si>
  <si>
    <t>INFORMAZIONE
ATTIVO/SCADUTO</t>
  </si>
  <si>
    <t>TERMINATO 10/11/17</t>
  </si>
  <si>
    <t>EDENRED ITALIA SRL</t>
  </si>
  <si>
    <t>09429840151</t>
  </si>
  <si>
    <t>Buoni pasto cartacei a favore dei dipendenti di M4</t>
  </si>
  <si>
    <t>URBAN VISION SPA</t>
  </si>
  <si>
    <t>08236441005</t>
  </si>
  <si>
    <t>Advisor fiscale Attività extracontrattuali</t>
  </si>
  <si>
    <t>DOLPHIN SOC COOP ARL</t>
  </si>
  <si>
    <t>03054000967</t>
  </si>
  <si>
    <t>GIANNI ORIGONI GRIPPO CAPPELLI &amp; PARTNERS STUDIO LEGALE</t>
  </si>
  <si>
    <t>01535691008</t>
  </si>
  <si>
    <t>Incarico di consulente legale di M4 in relazione al contratto di finanziamento project per la progettazione, costruzione e gestione della linea 4 della metropolitana di Milano</t>
  </si>
  <si>
    <t>biennale dalla sottoscrizione dell'incarico</t>
  </si>
  <si>
    <t xml:space="preserve">119800 escluso contributi previdenziali e spese vive </t>
  </si>
  <si>
    <t xml:space="preserve">comodato d'uso gratuito, sono escluse le spese generali di portierato, ascensore e spese di riscaldamento </t>
  </si>
  <si>
    <t>Uffici Comunali Viale G. D'Annunzio 15/17</t>
  </si>
  <si>
    <t>01199250158</t>
  </si>
  <si>
    <t>13/10/2016 al 31/03/2017</t>
  </si>
  <si>
    <t>49.500 mensili oltre 4% CNPAIA e Iva</t>
  </si>
  <si>
    <t>07722780967</t>
  </si>
  <si>
    <t>Revisione del modello di organizzazione, gestione e controllo ai sensi del D. Lgs. 231/01</t>
  </si>
  <si>
    <t>il contratto terminerà con la consegna formale di tutta la documentazione prodotta</t>
  </si>
  <si>
    <t>METROBLU</t>
  </si>
  <si>
    <t>Convenzione inerente l'uso dei servizi dei campi base</t>
  </si>
  <si>
    <t>2016/2017/2018</t>
  </si>
  <si>
    <t>alloggi: 590 € per camera/mese
pranzo: 8€ cadauna
cena: 8€ cadauna
colazione: 1,5€ cadauna</t>
  </si>
  <si>
    <t xml:space="preserve">8.000€ - 3.000€ oltre contributi previdenziali </t>
  </si>
  <si>
    <t>VITO ROSIELLO</t>
  </si>
  <si>
    <t>RSLVTI50S04A091N</t>
  </si>
  <si>
    <t>Incarico di consulenza tecnica di parte nella procedura giudiziale ricorso Immobiliare Ronchetto</t>
  </si>
  <si>
    <t>l'incarico si concluderà al termine dell'iter giudiaziorio</t>
  </si>
  <si>
    <t>4.000 euro oltre Iva, contributi previdenziali</t>
  </si>
  <si>
    <t xml:space="preserve">Incarico per la realizzazione dei corsi di formazione obbligatoria come identificati nel PTPCT </t>
  </si>
  <si>
    <t>l'incarico terminerà con l'erogazione dell'ultimo modulo formativo e l'invio di tutto il materiale formativo predisposto e utilizzato</t>
  </si>
  <si>
    <t>11.500 euro oltre Iva, contributi previdenziali</t>
  </si>
  <si>
    <t>1313434301004</t>
  </si>
  <si>
    <t>AZIENDA TRASPORTI MILANESI SPA</t>
  </si>
  <si>
    <t>l'incarico dovrà essere espletato fino all'emissione in servizio dell'ultimo treno metropolitano, che si presume avverrà entro il 2024. In caso di splittamenti rispetto alla predetta data, quale che sia la causa del ritardo, ATM non potrà avanzare nei confronti di M4 richieste di indennizzi, risarcimenti o altri compensi</t>
  </si>
  <si>
    <t xml:space="preserve">ARCH. EUGENIA SILVESTRI </t>
  </si>
  <si>
    <t>SLVGNE71D60F205O</t>
  </si>
  <si>
    <t>Prestazioni tecniche e professionali relative alle opere necessarie al trasferimento degli uffici di M4 nella nuova sede di Viale Gabriele D'Annunzio 15</t>
  </si>
  <si>
    <t xml:space="preserve">decorre dalla data di sottoscrizione tra le Parti e ha durata sino al termine del cantiere </t>
  </si>
  <si>
    <t>8.500 euro oltre Iva, contributi previdenziali</t>
  </si>
  <si>
    <t>24 mesi dalla sottoscrizione</t>
  </si>
  <si>
    <t>209.000€ oltre iva, contributi previdenziali e spese vive</t>
  </si>
  <si>
    <t xml:space="preserve">Contratto Integrativo per la costruzione e assistenza di un modello finanziario 
</t>
  </si>
  <si>
    <t xml:space="preserve">le attività del contratto integrativo avranno termine entro il termine di durata del contratto originariamnete previsto 07/07/2020 </t>
  </si>
  <si>
    <r>
      <t>dal 01/04/2017 al 31/03/2018</t>
    </r>
    <r>
      <rPr>
        <b/>
        <sz val="11"/>
        <color theme="1"/>
        <rFont val="Calibri"/>
        <family val="2"/>
        <scheme val="minor"/>
      </rPr>
      <t xml:space="preserve"> </t>
    </r>
    <r>
      <rPr>
        <sz val="11"/>
        <color theme="1"/>
        <rFont val="Calibri"/>
        <family val="2"/>
        <scheme val="minor"/>
      </rPr>
      <t>- proroga del 29/03/2018 dal 01/04/2018 al 30/06/2018 alle medesime condizioni economiche -</t>
    </r>
    <r>
      <rPr>
        <b/>
        <sz val="11"/>
        <color theme="1"/>
        <rFont val="Calibri"/>
        <family val="2"/>
        <scheme val="minor"/>
      </rPr>
      <t xml:space="preserve"> proroga del 28/06/2018 fino al 31/07/2018 (1 mese) alle medesime cond economiche</t>
    </r>
  </si>
  <si>
    <t xml:space="preserve">corrispettivo annuo1.373.217,36 (inclusi CNPAIA 4%) esclusa Iva </t>
  </si>
  <si>
    <t>12.000€ sulla chiusura di bilancio al 31/12/2016
5.000€ sulla chiusura di bilancio al 31/12/2017
Si aggiungono rimborsi spese fino al 5% del valore contrattuale</t>
  </si>
  <si>
    <t>Incarico per l'assistenza nell'adeguamento al regolamento europeo 679/2016 (privacy)</t>
  </si>
  <si>
    <t>inizio attività programmate per luglio 2018 e conclusione non oltre il 30 settembre 2018</t>
  </si>
  <si>
    <t>07025291001</t>
  </si>
  <si>
    <t>Affidamento del servizio di coordinamento della Sicurezza in fase di Progettazione e di coordinamento della sicurezza in fase di esecuzione nonché di referente di cantieri ai sensi dell'art. 7 del protocollo di Legalità nell'ambito del progetto definitivo esecutivo e della realizzazione dei lavori di costruzione della M4</t>
  </si>
  <si>
    <t>dal 01/08/2018 fino alla fine dei lavori coincidente con l'emissione del certificato di collaudo (indicativamente 64 mesi decorrenti dall'avvio dell'esecuzione del servizio)</t>
  </si>
  <si>
    <t>Importo totale del servizio 3.059.143,62 oltre iva e contributi previdenziali</t>
  </si>
  <si>
    <t>STIL EDIL COSTRUZIONI</t>
  </si>
  <si>
    <t>01978960167</t>
  </si>
  <si>
    <t>Lavori di adeguamento degli uffici della futura sede di M4 in Viale D'annunzio</t>
  </si>
  <si>
    <t xml:space="preserve">BDO ITALIA </t>
  </si>
  <si>
    <t>Rilascio e apposizione visto di conformità su dichiarazione IRAP  2018 anno d'imposta 2017</t>
  </si>
  <si>
    <t xml:space="preserve">3.000€ IVA ed oneri accessori di legge esclusi </t>
  </si>
  <si>
    <t>TERMINATO 14/09/18</t>
  </si>
  <si>
    <t>FABER SYSTEM SRL</t>
  </si>
  <si>
    <t>07155170157</t>
  </si>
  <si>
    <t>Protocollo informatico</t>
  </si>
  <si>
    <t>16.800€ una tantum
7.500€ canone annuale</t>
  </si>
  <si>
    <t>tra anni dalla data di invio contratto 26.09.2018</t>
  </si>
  <si>
    <t>RIZ SERVICE SRL</t>
  </si>
  <si>
    <t>22/01/2018- proroga dal 01.08.2018-30.09.2018
27/04/2018 - proroga dal 02/05/18 al 29/06/18 - proroga dal 02/07/18 al 31/07/18 - proroga dal 01/08/18 al 30/09/18 - proroga 01/10/18 al 31/10/18</t>
  </si>
  <si>
    <t>01/08/2018-30/09/2018
01/10/18-31/10/18</t>
  </si>
  <si>
    <t>STUDIO AMICA SOC. COOP.</t>
  </si>
  <si>
    <t>Erogazione in SaaS della piattaforma di E-P rocurement di gare telematiche denominata TuttoGare</t>
  </si>
  <si>
    <t xml:space="preserve">Affidamento triennale
costo annuo 8.000€ </t>
  </si>
  <si>
    <t>24.000 €</t>
  </si>
  <si>
    <r>
      <t xml:space="preserve">30/11/2018
</t>
    </r>
    <r>
      <rPr>
        <b/>
        <sz val="11"/>
        <color theme="1"/>
        <rFont val="Calibri"/>
        <family val="2"/>
        <scheme val="minor"/>
      </rPr>
      <t>20/11/2018 rinnovo durata 36 mesi</t>
    </r>
  </si>
  <si>
    <t>Noleggio ed assistenza tecnica full service multifunzione</t>
  </si>
  <si>
    <t>13187000156</t>
  </si>
  <si>
    <t xml:space="preserve">canone mensile 220 € </t>
  </si>
  <si>
    <t>36 mesi decorrenti dal primo giorno feriale del trimestre solare
da sett - dic 2018</t>
  </si>
  <si>
    <t>750 pulizia ordinaria c/o p.zza castello dall 1 al 12 agosto
2000€ pulizia inizial c/o vial ed'annunzio
3.300€ pulizia ordinaria dal 27 agosto al 30 settembre in Via D'Annunzio
3.300€ pulizia ordinaria dal 1° al 31 ottobre in Via D'Annunzio</t>
  </si>
  <si>
    <t xml:space="preserve">dal ricevimento del cronoprogramma a firma del contraente e committente fino al 6/8/2018
Opere extra contratto per i lavori e le opere necessarie all'adeguamento e al trasferimento della sede </t>
  </si>
  <si>
    <t>01/01/2019-31/12/2019</t>
  </si>
  <si>
    <t>30.900€ escluso Iva</t>
  </si>
  <si>
    <t>Fase 1 € 15.000
Fase 2 il Committente corrisponderà al Contraente l’importo 
maturato e dovuto secondo quanto previsto all’art. 4 (“Corrispettivi ed altre spese”) del Contratto sottoscritto il 7/07/2017, ultimo capoverso a cui questa attività si riferisce.</t>
  </si>
  <si>
    <t>Rate orario unico medio pari ad Euro 240 con CAP mensile pari ad Euro 10.000 + rimborso spese 
Agli onorari vanno aggiunti Iva e CPA 4%</t>
  </si>
  <si>
    <t>KPMG SPA</t>
  </si>
  <si>
    <t>Review indipendente del modello finanziario</t>
  </si>
  <si>
    <t>2 settimane dalla ricezione del modello</t>
  </si>
  <si>
    <t>28.000 €</t>
  </si>
  <si>
    <t>BUTTI &amp; PARTNERS ASSOCIAZIONE</t>
  </si>
  <si>
    <t>04144000231</t>
  </si>
  <si>
    <t>entro 20 gg dalla data di sottoscrizione</t>
  </si>
  <si>
    <t>13134301004</t>
  </si>
  <si>
    <t>Assistenza legale specialistica in materia di anticorruzione e trasparenza</t>
  </si>
  <si>
    <t>dalla data di sottoscrizione alla conclusione dell'attività in oggetto</t>
  </si>
  <si>
    <t>4500+spese generali 10%+CPA 4%</t>
  </si>
  <si>
    <t>Incarico per l'assistenza nell'adeguamento al regolamento europeo 679/2016 (privacy) - II FASE</t>
  </si>
  <si>
    <r>
      <t xml:space="preserve">- Revisione contabile del bilancio in forma abbreviata 
'- Verifica della regolare tenuta della contabilità
'-Verifiche per la sottoscrizione delle dichiarazioni fiscali
'- Revisione del reporting package annuale e revisione contabile limitata del reporting package semestrale sulla base degli IAS/IFRS </t>
    </r>
    <r>
      <rPr>
        <i/>
        <sz val="11"/>
        <color theme="1"/>
        <rFont val="Calibri"/>
        <family val="2"/>
        <scheme val="minor"/>
      </rPr>
      <t>(1) princi IAS/IFRS in vigore alla data della presente proposta</t>
    </r>
    <r>
      <rPr>
        <sz val="11"/>
        <color theme="1"/>
        <rFont val="Calibri"/>
        <family val="2"/>
        <scheme val="minor"/>
      </rPr>
      <t xml:space="preserve">
'- Assistenza metodologica nella predisposizione del bilancio in forma ordinaria a seguito dell'applicazione della direttiva europea 2013/34 e dei nuovi OIC </t>
    </r>
    <r>
      <rPr>
        <i/>
        <sz val="11"/>
        <color theme="1"/>
        <rFont val="Calibri"/>
        <family val="2"/>
        <scheme val="minor"/>
      </rPr>
      <t>(2) nella versione ultima ad oggi emessa del 22/12/2017</t>
    </r>
  </si>
  <si>
    <t xml:space="preserve">PROF. GIOVANNI TARTAGLIA POLCINI </t>
  </si>
  <si>
    <t>TRTGNN68B07A783A</t>
  </si>
  <si>
    <t>Regolamento interno per l'affidamento di incarichi esterni di natura autonoma</t>
  </si>
  <si>
    <t xml:space="preserve">durata di due ore nel giorno e ora concordata tra le parti </t>
  </si>
  <si>
    <t>BONELLI EREDE PAPPALARDO STUDIO LEGALE</t>
  </si>
  <si>
    <t>Conferimento incarico relativo al giudizio da  instaurarsi dinanzi al Tar Lazio-Roma per l'impugnazione da parte di Consul System SpA del provvedimento del GSE di rigetto della PPPM</t>
  </si>
  <si>
    <t>Dalla data di sottoscrizione e terminerà con il completamento delle attività descritte fino all'adozione del giudizio di primo grado o in caso di definizione transattiva della lite, per tutta la durata della gestione della trattativa fino all'eventuale sottoscrizione del relativo atto</t>
  </si>
  <si>
    <t xml:space="preserve">4.750 oltre contributi, e 5% a titolo di rimborso spese generali </t>
  </si>
  <si>
    <t xml:space="preserve">LIPANI CATRICALA' E PARTNERS
STUDIO DI AVVOCATI </t>
  </si>
  <si>
    <t>Incarico per l'assistenza alle attività dell'OdV ex D.Lgs 231/2001</t>
  </si>
  <si>
    <t>6.500 oltre Iva e CPA 4%</t>
  </si>
  <si>
    <t>Inizio attività programmate entro la fine di gennaio 2019 e conclusione non oltre il 30 aprile 2019</t>
  </si>
  <si>
    <t>Le attività oggetto del presente contratto termineranno entro il 31 dicembre 2019</t>
  </si>
  <si>
    <t>29/02/2019</t>
  </si>
  <si>
    <t>2019-2021</t>
  </si>
  <si>
    <t>ELISABETTA GABRIELLI</t>
  </si>
  <si>
    <t>GBRLBT82M43L191U</t>
  </si>
  <si>
    <t>Prestazione lavoro autonomo occasionale, esperto commissione giudicatrice nell'ambito del Concorso Passerella S.Cristoforo</t>
  </si>
  <si>
    <t>Sino alla proclamazione del vincitore del Concorso</t>
  </si>
  <si>
    <t>6.000€ + 500€ rimb spese</t>
  </si>
  <si>
    <t>ENRICA BARZAGHI</t>
  </si>
  <si>
    <t>BRZNRC74P63B639K</t>
  </si>
  <si>
    <t>09989691002</t>
  </si>
  <si>
    <t>Assistenza in giudizio in esito al ricorso di Immobiliare Ronchetto in danno tra gli altri, di SPV Linea M4 SPA</t>
  </si>
  <si>
    <t xml:space="preserve">Dalla firma fino all'espletamento dell'attività </t>
  </si>
  <si>
    <t>6.500€ +contributi prev + spese vive documentate</t>
  </si>
  <si>
    <t>STUDIO LEGALE 
AVV. DI NAPOLI</t>
  </si>
  <si>
    <t>GRENKE/DUPLEX</t>
  </si>
  <si>
    <t>AVV. ALESSANDRO FACCHINO c/o Studio Legale GeALEX</t>
  </si>
  <si>
    <t>Incarico di assistenza nel giudizio promosso con atto di citazione dal Sig. Giorgio Battisti innanzi al Giudice di Pace di Milano</t>
  </si>
  <si>
    <t>600€ oltre iva, CPA e spese generali</t>
  </si>
  <si>
    <t>FCCLSN67S05F205W</t>
  </si>
  <si>
    <r>
      <t xml:space="preserve">€ 648.120,00 oltre iva 
€ 252.923,60 oltre iva e contributi di legge ove previsti (atto aggiuntivo)
</t>
    </r>
    <r>
      <rPr>
        <b/>
        <sz val="11"/>
        <color theme="1"/>
        <rFont val="Calibri"/>
        <family val="2"/>
        <scheme val="minor"/>
      </rPr>
      <t>Per un totale di € 901.043,60</t>
    </r>
  </si>
  <si>
    <t>Accordo per la funzionalità del sistema di controllo accessi e per l'interfacciametno con il sistema di centro sbme</t>
  </si>
  <si>
    <t>dalla sottoscrizione fino all'entrata in esercizio della prima tratta funzionale</t>
  </si>
  <si>
    <t>Assistenza in giudizio per impugnazione dinanzi al TAR Lombardia proposto da Iscot Italia Spa</t>
  </si>
  <si>
    <t>dalla sottoscrizione fino all'adozione del giudizio o in caso di definizione transattiva della lite</t>
  </si>
  <si>
    <t>10.000€ oltre iva, contributi previdenziali e spese vive</t>
  </si>
  <si>
    <t>RC Advisory Srl</t>
  </si>
  <si>
    <t>06945460969</t>
  </si>
  <si>
    <t>Attività di analisi e revisione delle procedure interne aziendali, già redatte, nonche la stesura delle procedure ancora da sviluppare</t>
  </si>
  <si>
    <t>dalla sottoscrizione dello stesso, terminerà con il completamento di tutte le attività oggetto dell'incarico e non dovrà protrarsi oltre il 30 settembre 2019</t>
  </si>
  <si>
    <t>18.900€ oltre iva</t>
  </si>
  <si>
    <t>il Concedente riconoscerà  per il tramite della Concessionaria, al CMM4 e ad ATM l’importo complessivo di € 800.000,00 oltre IVA</t>
  </si>
  <si>
    <t>ATM/COMUNE DI MILANO/M4/HITACHI RAIL STS SPA/CMM4</t>
  </si>
  <si>
    <t>PERITO INDUSTRIALE RENATO BRUNO</t>
  </si>
  <si>
    <t>059009860016</t>
  </si>
  <si>
    <t>Incarico per la redazione della documentazione tecnica e presentazione delle istanze di deroga ai VV. FF. per le stazioni della M4</t>
  </si>
  <si>
    <t>dalla sottoscrizione dello stesso e terminerà con il completamento di tutte le attività oggetto dell'incarico</t>
  </si>
  <si>
    <t>6.300€ oltre iva</t>
  </si>
  <si>
    <t>04596040966</t>
  </si>
  <si>
    <t xml:space="preserve">Contratto perla realizzazione di un nuovo software per la gestione del protocollo di legalità e per la prestazione di servizi accessori </t>
  </si>
  <si>
    <t>il presente contratto è valido ed efficace dalla data della sua stipula e si concluderà il 31 dicembre 2024</t>
  </si>
  <si>
    <r>
      <t xml:space="preserve">L’importo complessivo del Contratto è pari ad Euro </t>
    </r>
    <r>
      <rPr>
        <b/>
        <sz val="11"/>
        <color theme="1"/>
        <rFont val="Calibri"/>
        <family val="2"/>
      </rPr>
      <t>352.800 iva esclusa</t>
    </r>
    <r>
      <rPr>
        <sz val="11"/>
        <color theme="1"/>
        <rFont val="Calibri"/>
        <family val="2"/>
      </rPr>
      <t xml:space="preserve">
a) euro 263.334 per le attività di sviluppo, rilascio in campo del Software, senza importazione dei dati dal vecchio sistema;
b) euro 51.666 per le attività di manutenzione correttiva dal 1.6.2022 fino al 31 dicembre 2024 di cui euro 11.666 per il periodo dal 1° giugno 2022 al 31 dicembre 2022 euro 20.000 per l’anno 2023 ed euro 20.000 per l’anno 2024;
c) euro 35.000 per il servizio di hosting in cloud dei sistemi hardware su cui è caricato il Software pari ad euro 7.000 per ciascun anno, a partire dal 1° gennaio 2020 e fino al 31 dicembre 2024;
d) euro 2.800 per il servizio di training sul sistema della durata complessiva di 3 giorni lavorativi;</t>
    </r>
    <r>
      <rPr>
        <b/>
        <sz val="11"/>
        <color theme="1"/>
        <rFont val="Calibri"/>
        <family val="2"/>
      </rPr>
      <t xml:space="preserve">
</t>
    </r>
  </si>
  <si>
    <t xml:space="preserve">Incarico relativo all'assistenza  e tutela nel giudizio dinanzi al tribunale nel contenzioso RG 54054/2017 Immobiliare Forlanini Srl </t>
  </si>
  <si>
    <t>16.000 oltre iva e contributi previdenziali dovuti per legge, CPA e spese vive</t>
  </si>
  <si>
    <t>05/11/2018
rinnovo 25/10/19</t>
  </si>
  <si>
    <t>STUDIO LEGALE ANNA MAIENZA E ASSOCIATI</t>
  </si>
  <si>
    <t>06641990962</t>
  </si>
  <si>
    <t>Incarico relativo all'assistenza e tutela nel giudizio avverso l'atto di citazione notificato il 31/07/19 dal Comune di Milano per l'accertamento della responsabilità di M4 per tutti gli eventuali danni patti dal Sig. Zonato</t>
  </si>
  <si>
    <t>10.774 oltre iva e contributi previdenziali dovuti per legge, CPA e spese vive</t>
  </si>
  <si>
    <t xml:space="preserve">Incarico relativo all'assistenza  e tutela nel giudizio dinanzi al tribunale nel contenzioso RG 2347/2018 Immobiliare Forlanini Srl </t>
  </si>
  <si>
    <t>10.000 oltre iva e contributi previdenziali dovuti per legge, CPA e spese vive</t>
  </si>
  <si>
    <t>Quadriennio 2015-2018</t>
  </si>
  <si>
    <t>5/11/18 al 5/11/19
rinnovo 6/11/19 al 6/12/19
rinnovo 9/12/2019 al 20/12/2019</t>
  </si>
  <si>
    <t>01/01/2020-31/12/2020</t>
  </si>
  <si>
    <t>4.500 € al netto iva e delle spese relative agli oneri e tributi catastali eventualmente richiesti dall'Ag. Entrate</t>
  </si>
  <si>
    <t xml:space="preserve">incarico triennale di consulente della società per la valutazione dei criteri di ammissibilità ed efficacia dei contratti di hedging con riferimento alla loro contabilizzazion ed esistenti alla data di chiusura di ogni bilancio di esercizio _ integrazione Hedging </t>
  </si>
  <si>
    <t xml:space="preserve">anno 2020 </t>
  </si>
  <si>
    <t>7.000 + IVA</t>
  </si>
  <si>
    <t>RINNOVO anno 10.12.2019-10.12.2020
qualora la società lo ritenesse, l'incarico può essere rinnovato per un uguale periodo</t>
  </si>
  <si>
    <t>Long Term Partners Srl</t>
  </si>
  <si>
    <t>SERVIZIO DI CONSULENZA PER LA VALORIZZAZIONE DELLA COMUNICAZIONE COMMERCIALE NELL’INFRASTRUTTURA DELLA LINEA M4 DELLA METROPOLITANA DEL COMUNE DI MILANO</t>
  </si>
  <si>
    <t>60 giorni dalla sottoscrizione</t>
  </si>
  <si>
    <t>AOUMM Srl STP</t>
  </si>
  <si>
    <t>09433100964</t>
  </si>
  <si>
    <t xml:space="preserve">gli elaborati relativi alla Progettazione Definitiva entro il termine stabilito di volta in volta dallo stesso, fino ad un
massimo di 45 giorni naturali e consecutivi;
gli elaborati relativi alla Progettazione Esecutiva fino ad un massimo di 45 giorni naturali e consecutivi;
gli aggiornamenti e le revisioni degli elaborati di PD e/o PE entro 20 giorni naturali e consecutivi.
I termini di cui sopra decorrono dalla ricezione del relativo ordine di avvio attività del Committente </t>
  </si>
  <si>
    <t>JOBBING SOC. COOP.</t>
  </si>
  <si>
    <t>Asseverazione partite di credito e debito tra l'ente Comune di Milano e SPV Linea M4 SPA per le finalità previste dal decreto legislativo 23 giugno 2011 n.118 per l'esercizio 2019</t>
  </si>
  <si>
    <t>Asseverazione partite di credito e debito tra l'ente Comune di Milano e SPV Linea M4 SPA per le finalità previste dal decreto legislativo 23 giugno 2011 n.118 per gli esercizi 2015-2016-2017-2018</t>
  </si>
  <si>
    <t>anno 2019</t>
  </si>
  <si>
    <t>06/04/2020
nuovo termine 06/06/2023</t>
  </si>
  <si>
    <t>STUDIO LEGALE ASSOCIATO SANTAMARIA _Avv.to Bruno Santamaria</t>
  </si>
  <si>
    <t>08912910968</t>
  </si>
  <si>
    <t>Incarico assistenza e tutela nel giudizio avverso il ricorso promosso dal condominio via De Amicis innanzi al TAR Lombardia per l'annullamento del decreto adottato da M4 SPA per l'imposizione di una servitù di passaggio della galleria della metropolitana</t>
  </si>
  <si>
    <t xml:space="preserve">A completamento delle attività e fino all'adozione del giudizio o, in caso di transattiva della lite, per tutta la durata della gestione della trattativa fino all'eventuale sottoscrizione del relativo atto
</t>
  </si>
  <si>
    <t>2.800 oltre contributi di legge e 15% spese generali</t>
  </si>
  <si>
    <t>da 105.384 a 115.913,40 con l'atto di sottomissione sottoscritto il 13/02/2020</t>
  </si>
  <si>
    <t>Le attività oggetto del presente contratto termineranno entro il 31 dicembre 2021</t>
  </si>
  <si>
    <t xml:space="preserve">incarico relativo all'assistenza per difesa in giudizio dinanzi al tribunale civile di milano per il ricorso presentato dal condominio in corso manforte 45, milano per nomina perito di parte M4 e presidente della terna dei periti </t>
  </si>
  <si>
    <t>al completamento delle attività sino all'eventuale assistenza nelle more delle operazioni peritali affidate alla terna dei tecnici</t>
  </si>
  <si>
    <t>1.100€ oltre IVA e CPA  + Spese vive concordate  e documentate (+15%)</t>
  </si>
  <si>
    <t>ASSISTENZA LEGALE SULLA GESTIONE DEI CONTRATTI DI FINANZIAMENTO SOTTOSCRITTI DA SPV LINEA M4 S.P.A. FINO ALLA DATA DEL 25 SETTEMBRE 2019</t>
  </si>
  <si>
    <t>due anni dalla firma del contratto</t>
  </si>
  <si>
    <t>38.000€ per la durata dell'incarico (quindi 19.000€)</t>
  </si>
  <si>
    <t>19/03/2020 firma Presidente M4
15/04/2020 firma GOP</t>
  </si>
  <si>
    <t>ARCH. MAURIZIO DEL BROCCO</t>
  </si>
  <si>
    <t>01700940602</t>
  </si>
  <si>
    <t>INCARICO PER L’ATTIVITA’ DI CONSULENTE TECNICO DI PARTE PER LA DETERMINAZIONE DELLE INDENNITA’ DEFINITIVE DI ESPROPRIAZIONE, NELL’AMBITO DELLA CONTROVERSIA CON IMMOBILIARE FORLANINI S.R.L</t>
  </si>
  <si>
    <t>Il presente incarico decorrerà dalla data di sottoscrizione dello stesso e terminerà con il completamento dell’attività in oggetto.</t>
  </si>
  <si>
    <t>€ 5.000 omnicomprensivo per tutte le attività e le spese sostenute dal CTP, al netto dell’IVA e degli altri oneri di legge</t>
  </si>
  <si>
    <t xml:space="preserve">3TI ITALIA SPA </t>
  </si>
  <si>
    <t xml:space="preserve">ING. GENOVESE </t>
  </si>
  <si>
    <t>INCARICO PER L’ATTIVITA’ DI CONSULENTE TECNICO DI PARTE PER LA DETERMINAZIONE DELLE INDENNITA’ DEFINITIVE DI ESPROPRIAZIONE, NELL’AMBITO DELLA CONTROVERSIA CON CONDOMIONIO DI VIA MONFORTE 45 MILANO</t>
  </si>
  <si>
    <t>Il presente incarico decorrerà dalla data di sottoscrizione dello stesso (13/07/2020) e terminerà con il completamento dell’attività in oggetto.</t>
  </si>
  <si>
    <t>€ 4.800 al netto di spese generali e CPA</t>
  </si>
  <si>
    <t>PROF. AVV. SCARPELLI</t>
  </si>
  <si>
    <t xml:space="preserve">REDAZIONE DI UN PARERE LEGALE IN MATERIA DI ORGANIZZAZIONE DEL PERSONALE E ASSUNZIONI DA PARTE DELLE SOCIETA' PARTECIPATE DA AMMINISTRAZIONI PUBBLICHE </t>
  </si>
  <si>
    <t>Il presente incarico decorrerà dalla data di sottoscrizione dello stesso (23/07/2020) e terminerà con il completamento dell’attività in oggetto.</t>
  </si>
  <si>
    <t>€ 2000 oltre oneri e contributi di legge</t>
  </si>
  <si>
    <t xml:space="preserve">Gestione degli spazi pubblicitari all'interno delle aree di cantiere relative alla realizzazione della linea M4
Variazioni al contratto di conessione 17/07/2020 </t>
  </si>
  <si>
    <t>30/10/2014
15/01/2020 addendum al contratto generale</t>
  </si>
  <si>
    <t>06/02/2017
31/01/2020 proroga contrattuale di ulteriori 38 mesi</t>
  </si>
  <si>
    <t>27/11/2017
13/02/2020 integrazione al contratto generale</t>
  </si>
  <si>
    <t>Conferimento d'incarico di Professionista Preposto relativamente alle opere delle Linea 4 della metropolitana ai fini dell'art 5 D.P.R. 753/1980 e della circolare M.C.T.C. - D.G. N. 201 del 16/9/1983
18 OTTOBRE 2019 scrittura privata tra M4 e ATM il quale si è reso necessaro sottoporre a verifica del Professionista Preposto ulteriori 3 carri pianale
10 SETTEMBRE 2020 scrittura privata tra M4 e ATM il quale si è reso necessaro sottoporre a verifica del Professionista Preposto quarto mezzo ausiliaro (Locotrattore disel strada)</t>
  </si>
  <si>
    <t xml:space="preserve">20/03/2018
18/10/2019 scrittura privata
10/09/2020 scrittura privata </t>
  </si>
  <si>
    <t>14.000 oltre iva e contributi previdenziali dovuti per legge, CPA e spese vive</t>
  </si>
  <si>
    <t xml:space="preserve">Servizio di pulizie uffici M4 e piccole manutenzioni (edili elettriche idrauliche) presso M4 + atto di sottomissione raccolta sacchi </t>
  </si>
  <si>
    <t>23/12/2019
18/09/2020</t>
  </si>
  <si>
    <t xml:space="preserve">decorrenza di 2 anni dal 2/01/2020 potrà essere prorogato, per il periodo strettamente necessario all’individuazione di un nuovo affidatario, per un periodo massimo di 2 (due) mesi.
Servizio di raccolta rifiuti dal 1 ottobre 2020 </t>
  </si>
  <si>
    <t>39.994 € per l'intera durata del contratto
+ 4.200€ servizio raccolta rifiuti dal 1 ottobre 2020 = 
= nuovo importo contrattuale 44.194</t>
  </si>
  <si>
    <t>ZABBAN - NOTARI - RAMPOLLA &amp; ASSOCIATI</t>
  </si>
  <si>
    <t>REDAZIONE DI UN ATTO DI PERMUTA, COSTITUITO DAL PASSAGGIO DI PROPRIETà DI UNA PORZIONE D'AREA DI 184mq DI PROPRIETà DEL POLICLINICO, A FAVORE DEL COMUNE DI MILANO</t>
  </si>
  <si>
    <t>CAFASSO &amp; FIGLI SPA</t>
  </si>
  <si>
    <t>07661170634</t>
  </si>
  <si>
    <t>Servizi di amministrazione del personale</t>
  </si>
  <si>
    <t>SETEGET SRL</t>
  </si>
  <si>
    <t>0094850794</t>
  </si>
  <si>
    <t xml:space="preserve">Incarico per il perfezionamento al catasto dei terreni di propriettà del Comune di Milano e del Policlinico e redazione modello DOCFA </t>
  </si>
  <si>
    <t>Il presente incarico decorrerà dalla data di sottoscrizione dello stesso (02/10/2020) e terminerà con il completamento dell’attività in oggetto.</t>
  </si>
  <si>
    <t>3.300 oltre oneri e contributi di legge</t>
  </si>
  <si>
    <t>€ 17.266,35 (di cui 14.741,85 a titolo di imposte e tasse)</t>
  </si>
  <si>
    <t>Il presente incarico decorrerà dalla data di sottoscrizione dello stesso (06/11/2020) e terminerà con il completamento dell’attività in oggetto.</t>
  </si>
  <si>
    <t>05066690156</t>
  </si>
  <si>
    <t>Buoni pasto elettronici a favore dei dipendenti di M4</t>
  </si>
  <si>
    <t>PELLEGRINI SPA</t>
  </si>
  <si>
    <t>Prof. avv. Luca Geninatti Satè</t>
  </si>
  <si>
    <t>GNNLCU76D30L219A</t>
  </si>
  <si>
    <t>Incarico per il servizio di aggiornamento del Modello 231di M4 Spa alle nuove disposizioni normative che integrano il novero dei cd. Reati presupposto</t>
  </si>
  <si>
    <t>Il presente incarico decorrerà dalla data di sottoscrizione e terminerà entro 60 giorni dalla firma dello stesso,
con il completamento di tutte le attività sopra descritte.</t>
  </si>
  <si>
    <t>6.000 oltre oneri e contributi di legge</t>
  </si>
  <si>
    <t>Incarico per la redazione di un parere legale riguardante il mancato pagamento di sanzioni comminate ai senzi dell'art 6 del protocollo di legalità nei confronti degli operatori economici della filiera che sono stati raggiunti da una notifica di sanzione</t>
  </si>
  <si>
    <t xml:space="preserve">Il presente incarico decorrerà dalla data di sottoscrizione dello stesso e terminerà con il completamento di tutte le attività </t>
  </si>
  <si>
    <t>potrà variare da un minimo di € 3.000  in caso di parere di complessità media ad un massimo di € 6.000 in caso di parere di complessità elevata</t>
  </si>
  <si>
    <t>limite massimo annuo lordo di € 31.666 con ristoro eventuali spese telefoniche e/o per abbonamento TPL gestito da ATM</t>
  </si>
  <si>
    <t>Dott. Ing. Pietro Palmieri</t>
  </si>
  <si>
    <t>Incarico per il servizio di consulente tecnico di parte nella Terna di professionisti che supporti M4 nella gestione di n. 5 terne</t>
  </si>
  <si>
    <t>Il presente incarico decorrerà dalla data di sottoscrizione e terminerà con il completamento di tutte le
attività finalizzate alla determinazione dell’indennità definitiva.</t>
  </si>
  <si>
    <t>15.000 oltre oneri e contributi di legge</t>
  </si>
  <si>
    <t>02546380037</t>
  </si>
  <si>
    <t>UR UIL Lombardia E Milano</t>
  </si>
  <si>
    <t>CESIL</t>
  </si>
  <si>
    <t>protocollo sicurezza cantieri M4 - distacco lavoratori dai sindacati 
Distacco Marco Delle Donne rappresentante sindacali art. 30</t>
  </si>
  <si>
    <t>WEBUILD SpA</t>
  </si>
  <si>
    <t>01/01/2021-31/12/2021</t>
  </si>
  <si>
    <t>Rilascio di un parere legale in merito al sinistro verificatosi in data 16 giugno 2020 e sulle eventuali responsabilità gravanti sulla società M4</t>
  </si>
  <si>
    <t>Il presente incarico decorrerà dalla data di sottoscrizione e terminerà con il completamento di tutte le
attività oggetto del presente incarico</t>
  </si>
  <si>
    <t>6.500 oltre oneri e contributi di legge</t>
  </si>
  <si>
    <t>Studio Legale Bassani e Associati</t>
  </si>
  <si>
    <t>03780000968</t>
  </si>
  <si>
    <t>22.000 oltre oneri e contributi di legge</t>
  </si>
  <si>
    <t>ASSISTENZA LEGALE PER LA GESTIONE DEI CONTRATTI DI FINANZIAMENTO EPC E O&amp;M, DEI PROCEDIMENTI DI ESPROPRIO E DEL COTENZIOSO STRAGIUDIZIALE DI M4</t>
  </si>
  <si>
    <t>25.000 oltre oneri e contributi di legge</t>
  </si>
  <si>
    <t>GIANNI &amp; ORIGONI</t>
  </si>
  <si>
    <t>Rilascio di un parere legale da allegare alla richiesta di waiver avente oggetto la disamina legale dei ritardi di costruzione
derivanti in particolare dall’emergenza Covid-19 e ai rinvenimenti archeologici al fine di definire se gli
stessi fossero o meno imputabili a M4 S.p.A.</t>
  </si>
  <si>
    <t>Asseverazione partite di credito e debito tra l'ente Comune di Milano e SPV Linea M4 SPA per le finalità previste dal decreto legislativo 23 giugno 2011 n.118 per l'esercizio 2020</t>
  </si>
  <si>
    <t>8 anni</t>
  </si>
  <si>
    <r>
      <t xml:space="preserve">L'importo annuo è di euro 16.000 per Km di linea 
- </t>
    </r>
    <r>
      <rPr>
        <b/>
        <sz val="11"/>
        <color theme="1"/>
        <rFont val="Calibri"/>
        <family val="2"/>
        <scheme val="minor"/>
      </rPr>
      <t>Linate-San Cristoforo 15 Km di linea per totali euro 240.000</t>
    </r>
    <r>
      <rPr>
        <sz val="11"/>
        <color theme="1"/>
        <rFont val="Calibri"/>
        <family val="2"/>
        <scheme val="minor"/>
      </rPr>
      <t xml:space="preserve">
</t>
    </r>
  </si>
  <si>
    <t>Infrastrutture Wireless Italiane Spa (INWIT)</t>
  </si>
  <si>
    <t>08936640963</t>
  </si>
  <si>
    <t>Accordo per la messa a disposizione degli spazi tecnici per l'installazione delle infrastrutture di rete mobile e degli apparati trasmissivi dei gestori di telefonia</t>
  </si>
  <si>
    <t xml:space="preserve">Servizio di consulenza per l'aggiornamento e l'assistenza nell'alimentazione del modello finanziario 
</t>
  </si>
  <si>
    <t xml:space="preserve">48 mesi dalla data di sottoscrizione </t>
  </si>
  <si>
    <t>1. RTI LS Lexjus Sinacta - Avvocati e Commercialisti Associati - Milano e Bologna
2. Paragon Business Advisor Srl</t>
  </si>
  <si>
    <t>1. mandataria P.Iva 02698331200
2. mandante P.Iva 07742550960</t>
  </si>
  <si>
    <t>PAGE PERSONNEL ITALIA SPA</t>
  </si>
  <si>
    <t xml:space="preserve">Contratto lavoro a tempo determinato (Venturino) </t>
  </si>
  <si>
    <t xml:space="preserve">Il presente incarico decorrerà dalla data di stipula del contratto, sarà 120 giorni naturali e consecutivi.
</t>
  </si>
  <si>
    <t>Servizio di consulenza legale nel giudizio avverso il ricorso al TAR MI notificato da Vaia Car S.p.A</t>
  </si>
  <si>
    <t>3.305 oltre oneri e contributi di legge</t>
  </si>
  <si>
    <t xml:space="preserve">L'incarico ha per oggetto l'assistenza e la difesa nel giudizio avverso il ricorso al TAR MI - NGR 290/2021 – notificato da Kone S.p.A. L’incarico comprenderà, oltre alla fase di merito con le attività difensive connesse (memoria, replica e partecipazione all’udienza) anche una fase cautelare
</t>
  </si>
  <si>
    <t>4.620 oltre oneri e contributi di legge</t>
  </si>
  <si>
    <t xml:space="preserve">L'incarico decorrerà dalla data di stipula del contratto e terminerà con il completamento di tutte le attività riportate in oggetto
</t>
  </si>
  <si>
    <t>Parere legale riguardante l’obbligatorietà di iscrizione per la Società al registro denominato “indice dei domicili digitali delle Pubbliche Amministrazioni e dei gestori di pubblici servizi” (IPA)”stessi fossero o meno imputabili a M4 S.p.A.</t>
  </si>
  <si>
    <t>Il presente incarico decorrerà dalla data di sottoscrizione dello stesso e terminerà con il rilascio del
parere e con il completamento di tutte le attività sopra descritte.</t>
  </si>
  <si>
    <t xml:space="preserve">€ 4.000  in caso di parere di complessità media
5.000 (euro cinquemila/00), in caso di parere di complessità elevata </t>
  </si>
  <si>
    <t>01/01/2018-31/12/2020
Rimodulazione del termine contrattuale al  31/10/2021
ulteriore rimodulazione importo sino a scadenza del contratto anno 2021</t>
  </si>
  <si>
    <t>783.333,33 annuale
revisione anno 2021, integrazione mensile totale a finire 31.10.2021 688.945,47€</t>
  </si>
  <si>
    <t>Noleggio n. 1 auto PANDA</t>
  </si>
  <si>
    <t>248,38 canone mensile</t>
  </si>
  <si>
    <t>3TI ITALIA SPA</t>
  </si>
  <si>
    <t>segue la durata principale del contratto
(fino alla fine dei lavori coincidente con l'emissione del certificato di collaudo)</t>
  </si>
  <si>
    <t>dal 01/03/21 al 28/02/21
- terminato il 9/04/2021 a seguito del non supermanto del periodo di prova</t>
  </si>
  <si>
    <t xml:space="preserve">Contratto lavoro a tempo determinato (Piermartiri) </t>
  </si>
  <si>
    <r>
      <t xml:space="preserve">648.340,00 oltre iva
123.170,00 oltre iva e contributi di legge ove previsti (atto aggiuntivo)
</t>
    </r>
    <r>
      <rPr>
        <b/>
        <sz val="11"/>
        <color theme="1"/>
        <rFont val="Calibri"/>
        <family val="2"/>
        <scheme val="minor"/>
      </rPr>
      <t>Per un totale di euro 771.510,00</t>
    </r>
  </si>
  <si>
    <r>
      <t xml:space="preserve">Servizio di espletamento delle procedure espropriative e occupazione temporanea
</t>
    </r>
    <r>
      <rPr>
        <b/>
        <sz val="11"/>
        <color theme="1"/>
        <rFont val="Calibri"/>
        <family val="2"/>
        <scheme val="minor"/>
      </rPr>
      <t>17.07.2019</t>
    </r>
    <r>
      <rPr>
        <sz val="11"/>
        <color theme="1"/>
        <rFont val="Calibri"/>
        <family val="2"/>
        <scheme val="minor"/>
      </rPr>
      <t xml:space="preserve"> Atto aggiuntivo al contratto di servizi di espletamento delle procedure espropriative e occupazione temporanea sottoscritto il 9/07/2019</t>
    </r>
  </si>
  <si>
    <t>STUDIO ASSOCIATO SCL INGEGNERIA STRUTTURALE</t>
  </si>
  <si>
    <t>Incarico per il servizio di consulente tecnico che supporti M4 nella gestione di n. 5 terne</t>
  </si>
  <si>
    <t>14.500 oltre oneri e contributi di legge</t>
  </si>
  <si>
    <t>Caruso Andreatini Notai Associati</t>
  </si>
  <si>
    <t>08995520965</t>
  </si>
  <si>
    <t>Redazione di n. 5 Atti di servitù di passaggio all’interno di aree di proprietà del Comune di Milano</t>
  </si>
  <si>
    <t>Il presente incarico decorrerà dalla data di sottoscrizione dello stesso e terminerà con la redazione degli atti</t>
  </si>
  <si>
    <t>10.000 oltre oneri e contributi di legge</t>
  </si>
  <si>
    <r>
      <t xml:space="preserve">11/02/2021
</t>
    </r>
    <r>
      <rPr>
        <b/>
        <sz val="11"/>
        <color theme="1"/>
        <rFont val="Calibri"/>
        <family val="2"/>
        <scheme val="minor"/>
      </rPr>
      <t xml:space="preserve">20/05/2021 risoluzione consensuale contratto </t>
    </r>
  </si>
  <si>
    <r>
      <t>29.500 oltre iva</t>
    </r>
    <r>
      <rPr>
        <sz val="11"/>
        <color theme="1"/>
        <rFont val="Calibri"/>
        <family val="2"/>
      </rPr>
      <t xml:space="preserve">
</t>
    </r>
    <r>
      <rPr>
        <b/>
        <sz val="11"/>
        <color theme="1"/>
        <rFont val="Calibri"/>
        <family val="2"/>
      </rPr>
      <t xml:space="preserve">13.687,50 oltre iva e oneri di legge </t>
    </r>
  </si>
  <si>
    <t>47.000 escluso Iva</t>
  </si>
  <si>
    <t>quatto anni dalla sottoscrizione
previsto l'esercizio della facoltà di proroga dell'oggetto contrattuale ai medesimi prezzi, patti e condizioni, ai sensi dell'art. 106, co. 11, del Codice limitatamente al tempo strettamente necessario alla conclusione delle procedure eventualmente necessarie per l'individuazione di un nuovo contraente per4
un periodo massimo stimato di 2 (due) mesi;</t>
  </si>
  <si>
    <t>Attività di supporto legale al processo di negoziazione in corso ai fini dell’aggiornamento del protocollo di legalità e delle procedure da esso derivate, ivi incluse quelle relative all’applicazione delle sanzioni in corso.</t>
  </si>
  <si>
    <t>2.918,24 oltre oneri e contributi di legge</t>
  </si>
  <si>
    <t xml:space="preserve">CONFERIMENTO DI INCARICO PER IL SERVIZIO DI CONSULENTE TECNICO CHE SUPPORTI
M4 NELLA GESTIONE DI N° 5 TERNE </t>
  </si>
  <si>
    <t>Il presente incarico decorrerà dalla data di sottoscrizione dello stesso (17/06/2020) e terminerà con il completamento dell’attività in oggetto.</t>
  </si>
  <si>
    <t>€ 13.750 al netto di spese generali e CPA</t>
  </si>
  <si>
    <t>dal 19/04/21 al 18/04/22
- terminato il 27/05/2021 ha trovato altro lavoro</t>
  </si>
  <si>
    <t>Servizio di consulenza legale in merito alla valutazione delle riserve del costruttore</t>
  </si>
  <si>
    <t>L'incarico ha per oggetto l’attività di supporto legale per assistenza nel contenzioso promosso da Lanfossi S.r.l. contro M4 S.p.a. dinanzi al Tribunale di Milano, R.G. n. 14983/2021</t>
  </si>
  <si>
    <t>4.380,80 oltre oneri, contributi di legge e spese generali
792 ,00 per contributo unificato e marca di iscrizione al ruolo</t>
  </si>
  <si>
    <t>0075828240550</t>
  </si>
  <si>
    <t>Gatti Pavesi Bianchi Ludovici</t>
  </si>
  <si>
    <t>11633970154</t>
  </si>
  <si>
    <t>Atto Aggiuntivo Redazione modelli DOCFA per accatastamento aree urbane tratta Expo di 2 particelle di Proprietà della Soc. Gezzo</t>
  </si>
  <si>
    <t>12/12/2019
13/07/2021 atto aggiuntivo all'incarico stipulato il 12/12/2019</t>
  </si>
  <si>
    <t>Lo Studio legale Alberto Bianchi &amp; Partners</t>
  </si>
  <si>
    <t>07004600487</t>
  </si>
  <si>
    <t>decorrerà dalla data di sottoscrizione dello stesso e terminerà con il completamento delle attività oggetto dell'incarico</t>
  </si>
  <si>
    <t xml:space="preserve">524 euro per deposito di ciascuna istanza al netto dei contributi previdenziali , cpa e spese generali nella misura del 15% </t>
  </si>
  <si>
    <t>03380410104</t>
  </si>
  <si>
    <t>servizio di consulenza, relativa all’aggiornamento e all’assistenza nell’alimentazione di un modello finanziario per la società SPV Linea M4 S.p.A</t>
  </si>
  <si>
    <t>Il presente incarico decorre dalla data di stipula del presente contratto e dovrà essere reso fino al 31/12/2022.</t>
  </si>
  <si>
    <t>23.000,00  (attività ordinaria) 
max 26.500,00 (attività straordinaria max 50 ore)</t>
  </si>
  <si>
    <t xml:space="preserve">SERVIZIO DI ACCATASTAMENTO E DETERMINAZIONE DELLA TARI PER M4 S.P.A. </t>
  </si>
  <si>
    <t>€ 29.307,00 al netto di IVA e dei contributi previdenziali nella
misura dovuta per legge</t>
  </si>
  <si>
    <t>140€ + iva mensili per posto auto 
nuovo contratto scadenza 8.4.22 valore rimodulato a 160€ + Iva mensili (25 posti auto totale 36.000,00</t>
  </si>
  <si>
    <t xml:space="preserve">Medigest SA (mandataria) con
Arcus Financial Advisors S.r.l. (mandante) </t>
  </si>
  <si>
    <t>CHE-107.447.348
03380410104</t>
  </si>
  <si>
    <t>120 giorni naturali e consecutivi decorrenti dalla stipula del presente contratto
Per eventuali ulteriori attività di carattere straordinario o comunque non incluse tra quelle di cui all’articolo 1 (Oggetto e modalità di svolgimento dell’incarico), che si dovesse rendere necessario espletare, il Consulente applicherà le tariffe per ciascuna ora di lavoro richiesta, pari ai rates orari standard, scontati del 20%
orari standard, scontati del 20%:</t>
  </si>
  <si>
    <t xml:space="preserve">VIDEOWALL S.r.l. </t>
  </si>
  <si>
    <t>Affidamento in concessione a dei servizi di progettazione, realizzazione, gestione, manutenzione e commercializzazione degli Spazi pubblicitari, all’interno della Linea 4 della Metropolitana di Milano</t>
  </si>
  <si>
    <r>
      <rPr>
        <b/>
        <sz val="11"/>
        <color theme="1"/>
        <rFont val="Calibri"/>
        <family val="2"/>
        <scheme val="minor"/>
      </rPr>
      <t>- 8 anni</t>
    </r>
    <r>
      <rPr>
        <sz val="11"/>
        <color theme="1"/>
        <rFont val="Calibri"/>
        <family val="2"/>
        <scheme val="minor"/>
      </rPr>
      <t xml:space="preserve"> decorrenti dalla data di sottoscrizione del Contratto o messa in esercizio della prima Tratta Funzionale
- M4 avrà la facoltà di rinnovare il Contratto, alle medesime condizioni, per una durata pari a 2 (due) anni</t>
    </r>
    <r>
      <rPr>
        <sz val="11"/>
        <color theme="1"/>
        <rFont val="Calibri"/>
        <family val="2"/>
        <scheme val="minor"/>
      </rPr>
      <t xml:space="preserve">
- La durata del Contratto potrà inoltre essere prorogata, alle medesime condizioni, per il tempo strettamente necessario alla conclusione delle procedure per l’individuazione del nuovo contraente</t>
    </r>
  </si>
  <si>
    <t xml:space="preserve">- Canone annuale di € 3.960.000,00
(v. dettaglio art. 9 CANONE, ONERI AGGIUNTIVI E MODALITÀ DI VERSAMENTO"
</t>
  </si>
  <si>
    <t>Dott. Ing. Carlo Alessandro Bertetti</t>
  </si>
  <si>
    <t>04550320016</t>
  </si>
  <si>
    <t>Redazione di una perizia tecnica difensiva a seguito del ricorso al TAR presentato dall’Istituto dei Ciechi di Milano, con particolare riferimento ai motivi aggiunti di impugnazione riferiti al progetto esecutivo relativo alla valutazione degli impatti acustici e vibrazionali.</t>
  </si>
  <si>
    <t>€ 15.000,00 al netto di IVA e dei contributi previdenziali nella
misura dovuta per legge</t>
  </si>
  <si>
    <t>Studio Legale De Marini Savorelli</t>
  </si>
  <si>
    <t>05584290968</t>
  </si>
  <si>
    <r>
      <t xml:space="preserve">Rilascio di un parere legale in merito ai seguenti quesiti:
</t>
    </r>
    <r>
      <rPr>
        <sz val="9"/>
        <color theme="1"/>
        <rFont val="Calibri"/>
        <family val="2"/>
        <scheme val="minor"/>
      </rPr>
      <t>1) Individuazione delle procedure di affidamento di servizi sottosoglia - diverse dalle procedure
aperte - che possano rispondere all’esigenza della Società di avere fornitori di altissimo standing
e di indubbio prestigio professionale sul mercato di riferimento mediante procedure più brevi
rispetto alle procedure aperte;
2) Riguardo ad una gara pubblica tuttora in corso, con procedura aperta, ai sensi dell’art. 60 del
D. Lgs. 18/04/2016, n. 50 e s.m.i, si richiede l’analisi della documentazione rilevante per poter
fornire supporto alla Società nella valutazione dell’esistenza dei presupposti per annullamento
totale o parziale della procedura</t>
    </r>
  </si>
  <si>
    <t>Il presente incarico decorre dalla data di stipula e terminerà con il completamento di tutte le attività descritte nell'oggetto</t>
  </si>
  <si>
    <t>€ 4.000,00 al netto dell’IVA e degli oneri di legge</t>
  </si>
  <si>
    <t>Cellnex Italia S.p.A</t>
  </si>
  <si>
    <t xml:space="preserve">Accordo per la messa a disposizione degli spazi (aree aperte al pubblico presenti nelle stazioni) per l'installazione dei servizi di comunicazione elettronica </t>
  </si>
  <si>
    <t>Il presente contratto avrà la durata di anni 9 (nove), rinnovabile su richiesta di Cellnex per un periodo di pari durata.</t>
  </si>
  <si>
    <t>a) Euro 5.859,35 anno quale prezzo per ogni stazione aperta al pubblico (e tratti di Linea corrispondenti) a titolo di canone di ospitalità
vedi accordo art. 15</t>
  </si>
  <si>
    <t>TERMIANTO</t>
  </si>
  <si>
    <t>ONFERIMENTO DI INCARICO RELATIVO L’ASSISTENZA E LA DIFESA IN GIUDIZIO AVVERSO IL RICORSO TAR MI - NGR 290/2021 – NOTIFICATO DA KONE S.p.A.</t>
  </si>
  <si>
    <t>CONTRATTO PER ASSISTENZA LEGALE IN RELAZIONE ALLA GESTIONE DEL FINANZIAMENTO E ASSISTENZA ALLA SOCIETÀ NEI CONFRONTI DEGLI ENTI FINANZIATORI IN RELAZIONE ALLA PROCEDURA DI RIEQUILIBRIO ECONOMICO E FINANZIARIO</t>
  </si>
  <si>
    <t>Asseverazione partite di credito e debito tra l'ente Comune di Milano e SPV Linea M4 SPA per le finalità previste dal decreto legislativo 23 giugno 2011 n.118 per l'esercizio 2021</t>
  </si>
  <si>
    <t>anno 2021</t>
  </si>
  <si>
    <t>Redazione di 6 atti di servitù di sottosuolo per proprietà appartenenti a Istituti Ecclesiastici che saranno costituiti dal riconoscimento di un valore economico che M4 S.p.A. provvederà a concordare direttamente con le Proprietà</t>
  </si>
  <si>
    <t>12.000 oltre oneri e contributi di legge</t>
  </si>
  <si>
    <r>
      <rPr>
        <sz val="11"/>
        <color theme="1"/>
        <rFont val="Calibri"/>
        <family val="2"/>
      </rPr>
      <t>17.500 € per ogni rapporto bimestrale con incremento annuale del 3%</t>
    </r>
    <r>
      <rPr>
        <sz val="11"/>
        <color theme="1"/>
        <rFont val="Calibri"/>
        <family val="2"/>
        <scheme val="minor"/>
      </rPr>
      <t xml:space="preserve">
</t>
    </r>
  </si>
  <si>
    <t>A.C.G. AUDITING &amp; CONSULTING GROUP SRL
RTI tra A.C.G Srl (capogruppo) e SILVIA BONINI (mandante)</t>
  </si>
  <si>
    <t>17.100 €</t>
  </si>
  <si>
    <t xml:space="preserve">Affidamento biennale
costo annuo 8.550€ </t>
  </si>
  <si>
    <t>assistenza e consulenza nell'ambito della gara per la gestione degli impianti pubblicitari nelle aree di cantiere - L’assistenza comprenderà la redazione di un parere legale  sul criterio di aggiudicazione, la revisione del bando e del disciplinare di gara oltre a colloqui telefonici ed incontri, sia in via telematica che di persona</t>
  </si>
  <si>
    <t>L'incarico decorre dalla data di sottoscrizione tra le Parti fino al completamento di tutte le attività previste nell'oggetto</t>
  </si>
  <si>
    <t xml:space="preserve">Contratto lavoro a tempo determinato (Cheri) </t>
  </si>
  <si>
    <t xml:space="preserve">dal 29/11/21 al 28/11/22
</t>
  </si>
  <si>
    <t>paga base 1.047,57
contingenza 516,43
premio produzione 215,94
edr 10,33
superminimo non assorbibile 241,06 importo ticket 11,00</t>
  </si>
  <si>
    <t>MERMEC STE/ex SIRTI SpA/M4</t>
  </si>
  <si>
    <t xml:space="preserve">La durata del presente incarico decorre dalla data presentazione del preventivo di spesa da parte del Consulente dell'11/10/2021 e sino a completamento di tutte le attività previste nell'oggetto
</t>
  </si>
  <si>
    <t>€ 2.160,00 al netto dell’IVA e degli oneri di legge e delle spese generali nella misura del 15%</t>
  </si>
  <si>
    <t>€ 2.500,00 al netto dell’IVA e degli oneri di legge e delle spese generali nella misura del 15%</t>
  </si>
  <si>
    <t>Conferimento di incarico per assistenza e rappresentanza nell’ambito del ricorso per denuncia di nuova opera ex artt. 1171 c.c., 688 e 669 c.p.c. promosso dalla Dott.ssa Mona Rita Yacoub a carico di M4 Spa
M4 S.p.A</t>
  </si>
  <si>
    <r>
      <t xml:space="preserve">- Revisione contabile del bilancio in forma abbreviata </t>
    </r>
    <r>
      <rPr>
        <b/>
        <sz val="11"/>
        <color theme="1"/>
        <rFont val="Calibri"/>
        <family val="2"/>
        <scheme val="minor"/>
      </rPr>
      <t>18.500</t>
    </r>
    <r>
      <rPr>
        <sz val="11"/>
        <color theme="1"/>
        <rFont val="Calibri"/>
        <family val="2"/>
        <scheme val="minor"/>
      </rPr>
      <t xml:space="preserve">
'- Verifica della regolare tenuta della contabilità </t>
    </r>
    <r>
      <rPr>
        <b/>
        <sz val="11"/>
        <color theme="1"/>
        <rFont val="Calibri"/>
        <family val="2"/>
        <scheme val="minor"/>
      </rPr>
      <t>3.500</t>
    </r>
    <r>
      <rPr>
        <sz val="11"/>
        <color theme="1"/>
        <rFont val="Calibri"/>
        <family val="2"/>
        <scheme val="minor"/>
      </rPr>
      <t xml:space="preserve">
'-Verifiche per la sottoscrizione delle dichiarazioni fiscali </t>
    </r>
    <r>
      <rPr>
        <b/>
        <sz val="11"/>
        <color theme="1"/>
        <rFont val="Calibri"/>
        <family val="2"/>
        <scheme val="minor"/>
      </rPr>
      <t>1.000</t>
    </r>
    <r>
      <rPr>
        <sz val="11"/>
        <color theme="1"/>
        <rFont val="Calibri"/>
        <family val="2"/>
        <scheme val="minor"/>
      </rPr>
      <t xml:space="preserve">
'- Revisione del reporting package annuale e revisione contabile limitata del reporting package semestrale sulla base degli IAS/IFRS </t>
    </r>
    <r>
      <rPr>
        <i/>
        <sz val="11"/>
        <color theme="1"/>
        <rFont val="Calibri"/>
        <family val="2"/>
        <scheme val="minor"/>
      </rPr>
      <t>(1) princi IAS/IFRS in vigore alla data della presente proposta</t>
    </r>
    <r>
      <rPr>
        <sz val="11"/>
        <color theme="1"/>
        <rFont val="Calibri"/>
        <family val="2"/>
        <scheme val="minor"/>
      </rPr>
      <t xml:space="preserve"> </t>
    </r>
    <r>
      <rPr>
        <b/>
        <sz val="11"/>
        <color theme="1"/>
        <rFont val="Calibri"/>
        <family val="2"/>
        <scheme val="minor"/>
      </rPr>
      <t>3.000</t>
    </r>
    <r>
      <rPr>
        <sz val="11"/>
        <color theme="1"/>
        <rFont val="Calibri"/>
        <family val="2"/>
        <scheme val="minor"/>
      </rPr>
      <t xml:space="preserve">
'- Assistenza metodologica nella predisposizione del bilancio in forma ordinaria a seguito dell'applicazione della direttiva europea 2013/34 e dei nuovi OIC </t>
    </r>
    <r>
      <rPr>
        <i/>
        <sz val="11"/>
        <color theme="1"/>
        <rFont val="Calibri"/>
        <family val="2"/>
        <scheme val="minor"/>
      </rPr>
      <t>(2) nella versione ultima ad oggi emessa del 22/12/2017</t>
    </r>
    <r>
      <rPr>
        <sz val="11"/>
        <color theme="1"/>
        <rFont val="Calibri"/>
        <family val="2"/>
        <scheme val="minor"/>
      </rPr>
      <t xml:space="preserve"> </t>
    </r>
    <r>
      <rPr>
        <b/>
        <sz val="11"/>
        <color theme="1"/>
        <rFont val="Calibri"/>
        <family val="2"/>
        <scheme val="minor"/>
      </rPr>
      <t>3.000</t>
    </r>
    <r>
      <rPr>
        <sz val="11"/>
        <color theme="1"/>
        <rFont val="Calibri"/>
        <family val="2"/>
        <scheme val="minor"/>
      </rPr>
      <t xml:space="preserve">
</t>
    </r>
    <r>
      <rPr>
        <b/>
        <sz val="11"/>
        <color theme="1"/>
        <rFont val="Calibri"/>
        <family val="2"/>
        <scheme val="minor"/>
      </rPr>
      <t>Euro 28</t>
    </r>
    <r>
      <rPr>
        <b/>
        <sz val="11"/>
        <color theme="1"/>
        <rFont val="Calibri"/>
        <family val="2"/>
      </rPr>
      <t>.000 per ciascun anno</t>
    </r>
    <r>
      <rPr>
        <sz val="11"/>
        <color theme="1"/>
        <rFont val="Calibri"/>
        <family val="2"/>
        <scheme val="minor"/>
      </rPr>
      <t xml:space="preserve">
Si aggiungono rimborsi spese del 5% del valore contrattuale
</t>
    </r>
    <r>
      <rPr>
        <sz val="13"/>
        <color theme="1"/>
        <rFont val="Calibri"/>
        <family val="2"/>
        <scheme val="minor"/>
      </rPr>
      <t>*</t>
    </r>
    <r>
      <rPr>
        <sz val="11"/>
        <color theme="1"/>
        <rFont val="Calibri"/>
        <family val="2"/>
        <scheme val="minor"/>
      </rPr>
      <t xml:space="preserve">875€ a fronte di ogni verifica svolta
</t>
    </r>
    <r>
      <rPr>
        <b/>
        <sz val="11"/>
        <color theme="1"/>
        <rFont val="Calibri"/>
        <family val="2"/>
        <scheme val="minor"/>
      </rPr>
      <t>*</t>
    </r>
    <r>
      <rPr>
        <sz val="11"/>
        <color theme="1"/>
        <rFont val="Calibri"/>
        <family val="2"/>
        <scheme val="minor"/>
      </rPr>
      <t xml:space="preserve">529,79€ a fronte di ogni verifica svolta
</t>
    </r>
  </si>
  <si>
    <r>
      <t xml:space="preserve">20/12/2018
</t>
    </r>
    <r>
      <rPr>
        <sz val="13"/>
        <color theme="1"/>
        <rFont val="Calibri"/>
        <family val="2"/>
        <scheme val="minor"/>
      </rPr>
      <t>*</t>
    </r>
    <r>
      <rPr>
        <sz val="11"/>
        <color theme="1"/>
        <rFont val="Calibri"/>
        <family val="2"/>
        <scheme val="minor"/>
      </rPr>
      <t xml:space="preserve">20/09/2021
</t>
    </r>
    <r>
      <rPr>
        <sz val="13"/>
        <color theme="1"/>
        <rFont val="Calibri"/>
        <family val="2"/>
        <scheme val="minor"/>
      </rPr>
      <t>*</t>
    </r>
    <r>
      <rPr>
        <sz val="11"/>
        <color theme="1"/>
        <rFont val="Calibri"/>
        <family val="2"/>
        <scheme val="minor"/>
      </rPr>
      <t>31/01/2022</t>
    </r>
  </si>
  <si>
    <r>
      <t xml:space="preserve">Triennale. 
Terninerà con l'approvazione del bilancio d'esercizio della Società al 31.12.2020
</t>
    </r>
    <r>
      <rPr>
        <sz val="13"/>
        <color theme="1"/>
        <rFont val="Calibri"/>
        <family val="2"/>
        <scheme val="minor"/>
      </rPr>
      <t>*</t>
    </r>
    <r>
      <rPr>
        <sz val="11"/>
        <color theme="1"/>
        <rFont val="Calibri"/>
        <family val="2"/>
        <scheme val="minor"/>
      </rPr>
      <t xml:space="preserve">Verifica della corretta tenuta della contabilità per il periodo 01/01/21 al 30/09/21
</t>
    </r>
    <r>
      <rPr>
        <sz val="13"/>
        <color theme="1"/>
        <rFont val="Calibri"/>
        <family val="2"/>
        <scheme val="minor"/>
      </rPr>
      <t>*</t>
    </r>
    <r>
      <rPr>
        <sz val="11"/>
        <color theme="1"/>
        <rFont val="Calibri"/>
        <family val="2"/>
        <scheme val="minor"/>
      </rPr>
      <t>Verifica della corretta tenuta della contabilità per il periodo 01/10/21 al 25/11/21</t>
    </r>
  </si>
  <si>
    <t>DUPLEX SRL</t>
  </si>
  <si>
    <t>00966260960</t>
  </si>
  <si>
    <r>
      <rPr>
        <u/>
        <sz val="11"/>
        <color theme="1"/>
        <rFont val="Calibri"/>
        <family val="2"/>
        <scheme val="minor"/>
      </rPr>
      <t xml:space="preserve">Macchine già in uso
</t>
    </r>
    <r>
      <rPr>
        <sz val="11"/>
        <color theme="1"/>
        <rFont val="Calibri"/>
        <family val="2"/>
        <scheme val="minor"/>
      </rPr>
      <t xml:space="preserve">Noleggio n. 3 multifunzione Konika-Minolta </t>
    </r>
  </si>
  <si>
    <t>12 mesi con rinnovo automatico di tre mesi in tre mesi, decorrenza 10/11/2021</t>
  </si>
  <si>
    <t xml:space="preserve">nr. 4 canoni periodici trimestrali, per € 270= a singolo canone
costo copie € 0,0055 cad b/n; 
costo copie 0,048 cad. colori </t>
  </si>
  <si>
    <t>00709600159</t>
  </si>
  <si>
    <t xml:space="preserve">- Revisione contabile del bilancio di esercizio
'- Verifica della regolare tenuta della contabilità
'- Revisione del reporting package annuale e revisione contabile limitata del reporting package semestrale sulla base degli IAS/IFRS
'-Verifiche per la sottoscrizione delle dichiarazioni fiscali
'-Revisione contabile annualedel prospetto relativo alle partite di credito e debito tra l'ente Comune di Milano e SPV Linea M4 SPA per le finalità previste dal decreto legislativo 23 giugno 2011 n.118 
</t>
  </si>
  <si>
    <t>Triennio 2021 - 2023</t>
  </si>
  <si>
    <r>
      <t xml:space="preserve">- Revisione contabile del bilancio di esercizio </t>
    </r>
    <r>
      <rPr>
        <b/>
        <sz val="11"/>
        <color theme="1"/>
        <rFont val="Calibri"/>
        <family val="2"/>
        <scheme val="minor"/>
      </rPr>
      <t xml:space="preserve">22.500 EUR </t>
    </r>
    <r>
      <rPr>
        <sz val="11"/>
        <color theme="1"/>
        <rFont val="Calibri"/>
        <family val="2"/>
        <scheme val="minor"/>
      </rPr>
      <t xml:space="preserve">
- Verifica della regolare tenuta della contabilità </t>
    </r>
    <r>
      <rPr>
        <b/>
        <sz val="11"/>
        <color theme="1"/>
        <rFont val="Calibri"/>
        <family val="2"/>
        <scheme val="minor"/>
      </rPr>
      <t>1.500 EUR</t>
    </r>
    <r>
      <rPr>
        <sz val="11"/>
        <color theme="1"/>
        <rFont val="Calibri"/>
        <family val="2"/>
        <scheme val="minor"/>
      </rPr>
      <t xml:space="preserve">
</t>
    </r>
    <r>
      <rPr>
        <b/>
        <sz val="11"/>
        <color theme="1"/>
        <rFont val="Calibri"/>
        <family val="2"/>
        <scheme val="minor"/>
      </rPr>
      <t>-</t>
    </r>
    <r>
      <rPr>
        <sz val="11"/>
        <color theme="1"/>
        <rFont val="Calibri"/>
        <family val="2"/>
        <scheme val="minor"/>
      </rPr>
      <t xml:space="preserve"> Revisione del reporting package annuale e revisione contabile limitata del reporting package semestrale sulla base degli IAS/IFRS </t>
    </r>
    <r>
      <rPr>
        <b/>
        <sz val="11"/>
        <color theme="1"/>
        <rFont val="Calibri"/>
        <family val="2"/>
        <scheme val="minor"/>
      </rPr>
      <t xml:space="preserve">6.500 EUR
- </t>
    </r>
    <r>
      <rPr>
        <sz val="11"/>
        <color theme="1"/>
        <rFont val="Calibri"/>
        <family val="2"/>
        <scheme val="minor"/>
      </rPr>
      <t xml:space="preserve">Verifiche per la sottoscrizione delle dichiarazioni fiscali </t>
    </r>
    <r>
      <rPr>
        <b/>
        <sz val="11"/>
        <color theme="1"/>
        <rFont val="Calibri"/>
        <family val="2"/>
        <scheme val="minor"/>
      </rPr>
      <t>1.000 EUR</t>
    </r>
    <r>
      <rPr>
        <sz val="11"/>
        <color theme="1"/>
        <rFont val="Calibri"/>
        <family val="2"/>
        <scheme val="minor"/>
      </rPr>
      <t xml:space="preserve">
- Revisione contabile annuale del prospetto relativo alle partite di credito e debito tra l'ente Comune di Milano e SPV Linea M4 SPA per le finalità previste dal decreto legislativo 23 giugno 2011 n.118 </t>
    </r>
    <r>
      <rPr>
        <b/>
        <sz val="11"/>
        <color theme="1"/>
        <rFont val="Calibri"/>
        <family val="2"/>
        <scheme val="minor"/>
      </rPr>
      <t>3.500 EUR</t>
    </r>
    <r>
      <rPr>
        <sz val="11"/>
        <color theme="1"/>
        <rFont val="Calibri"/>
        <family val="2"/>
        <scheme val="minor"/>
      </rPr>
      <t xml:space="preserve">
</t>
    </r>
  </si>
  <si>
    <t>Incarico per l'assistenza alle attività dell'OdV ex D.Lgs 231/2001 - Esercizio 2022</t>
  </si>
  <si>
    <t>Il presente contratto decorre dalla sua sottoscrizione e avrà termine in data 31 dicembre 2022</t>
  </si>
  <si>
    <t>6.700 €  oltre spese generali e CPA al netto dell’IVA</t>
  </si>
  <si>
    <t>Conferimento di incarico professionale per l'assistenza, rappresentanza e redazione di un atto di transazione con società KONE</t>
  </si>
  <si>
    <t>02895590962</t>
  </si>
  <si>
    <t>Oggetto del presente incarico è l’assistenza legale relativa all’annullamento della procedura aperta svolta per il servizio di revisore legale dei conti per il triennio 2021 - 2023.</t>
  </si>
  <si>
    <t>La durata del presente incarico decorre dalla data di presentazione del preventivo del 30 novembre 2021 e sino al completamento di tutte le attività previste nell'oggetto</t>
  </si>
  <si>
    <t>€ 4.000 al netto dell’IVA e degli oneri di legge e delle spese generali nella misura del 15%</t>
  </si>
  <si>
    <t>CONFERIMENTO DI INCARICO PER ASSISTENZA, DIFESA E RAPPRESENTANZA PER IL DEPOSITO DI N. 4 ISTANZE VOLTE AD OTTENERE LA RICUSAZIONE DEL NOMINATO TERZO TECNICO DOTT.SSA ANGELA POLETTI NELL’AMBITO DEI PROCEDIMENTI EX ART. 21, D.P.R. 327/2001</t>
  </si>
  <si>
    <t xml:space="preserve">La durata del presente incarico decorre dalla data presentazione del preventivo di spesa da parte del Consulente del 3.12.2021 e sino al completamento di tutte le attività elencate nell'oggetto
</t>
  </si>
  <si>
    <t>1.000 euro oltre a spese generali al 15%, IVA e CPA come per legge</t>
  </si>
  <si>
    <t>Becan Srl</t>
  </si>
  <si>
    <t>02190170155</t>
  </si>
  <si>
    <t>CONFERIMENTO INCARICO ESPLETAMENTO SERVIZIO PULIZIE E PICCOLE MANUTENZIONI (EDILI, ELETTRICHE, IDRAULICHE)</t>
  </si>
  <si>
    <t>ITS Controlli Tecnici Spa</t>
  </si>
  <si>
    <t>15323181006</t>
  </si>
  <si>
    <t>Servizio di Technical Controller in favore di M4 finalizzato a supportare la società nelle attività di coordinamento e controllo del progetto di costrizione della nuova linea M4</t>
  </si>
  <si>
    <t>Incarico per il servizio di consulente tecnico di parte nell'ambito nel giudizio pendente dinazi la Corte di Appello di Milano tra Alea Domus Srl  e M4</t>
  </si>
  <si>
    <t>Il presente incarico decorrerà dalla data di sottoscrizione e terminerà con il completamento di tutte le
attività elencate nell'oggetto</t>
  </si>
  <si>
    <t xml:space="preserve">2.500€ oltre oneri e contributi di legge con le seguenti modalità:
500€ al conferimento incarico
2.000€ al termine dell'incarico
</t>
  </si>
  <si>
    <t>2022-2024</t>
  </si>
  <si>
    <t>STUDIO ROCCO
Prof. Dott. Francesco Rocco</t>
  </si>
  <si>
    <t>RCCFNC63B11H501D</t>
  </si>
  <si>
    <t>Conferimento di incarico per la redazione di un parere in materia tributaria afferente l'applicazione dell'aliquota iva ridotta al 10%</t>
  </si>
  <si>
    <t>Il presente incarico decorrerà dalla data di sottoscrizione e terminerà con l'emissione del da inviarsi entro il 2 maggio 2022</t>
  </si>
  <si>
    <t>Assistenza, rappresentanza e difesa di M4 nell’ambito del ricorso ex art. 702-bis e ss. c.p.c. promosso da Immobiliare Forlanini S.r.l.</t>
  </si>
  <si>
    <t>6.000 oltre iva e contributi previdenziali dovuti per legge, CPA e spese vive</t>
  </si>
  <si>
    <t>Assistenza, la rappresentanza e la difesa nel ricorso promosso da L.T.M. S.r.l. - Lavorazione Tubi Manicotti, dinanzi al TAR Lombardia – Milano per l’annullamento, previa sospensiva, del provvedimento emesso dalla Società con il quale è stato negato il gradimento a un contratto di fornitura con il Consorzio MM4 e revocati i provvedimenti di gradimento precedentemente concessi</t>
  </si>
  <si>
    <t>Il presente incarico decorrerà dalla data di sottoscrizione tra le Parti fino al completamento di tutte le attività elencate nell'oggetto</t>
  </si>
  <si>
    <t>€ 6.000 al netto dell’IVA e degli oneri di legge e delle spese generali nella misura del 15%</t>
  </si>
  <si>
    <t>Assistenza, rappresentanza e difesa di M4 nell’ambito del giudizio di appello promosso da Fondazione Istituto dei Ciechi di Milano</t>
  </si>
  <si>
    <t>Il presente incarico terminerà con il completamento di tutte le attività riportate in oggetto, fino all'adozione del giudizio o, in caso di definizione transattiva della lite, per tuatta la durata della gestione della trattativa fino all'eventuale sottoscrizione cdel relativo atto</t>
  </si>
  <si>
    <t>20.000 oltre iva e contributi previdenziali dovuti per legge, CPA e spese generali 15%</t>
  </si>
  <si>
    <t>Il presente incarico decorrerà dalla data di sottoscrizione dello stesso e terminerà con il completamento di tutte le attività riportate in oggetto</t>
  </si>
  <si>
    <t>06/11/2020
06/06/2022</t>
  </si>
  <si>
    <t>Il presente contratto decorrerà a partire alla data di sottoscrizione e terminerà ad esaurimento dell'importo contrattuale
- 06/06/2022 integrazione contrattuale</t>
  </si>
  <si>
    <r>
      <t>39.000 oltre oneri e contributi di legge + integrazione 3.808,99 per</t>
    </r>
    <r>
      <rPr>
        <b/>
        <sz val="11"/>
        <color theme="1"/>
        <rFont val="Calibri"/>
        <family val="2"/>
      </rPr>
      <t xml:space="preserve"> totale</t>
    </r>
    <r>
      <rPr>
        <sz val="11"/>
        <color theme="1"/>
        <rFont val="Calibri"/>
        <family val="2"/>
      </rPr>
      <t xml:space="preserve"> </t>
    </r>
    <r>
      <rPr>
        <b/>
        <sz val="11"/>
        <color theme="1"/>
        <rFont val="Calibri"/>
        <family val="2"/>
      </rPr>
      <t>42.808,90</t>
    </r>
  </si>
  <si>
    <t>4.500 oltre iva e contributi previdenziali dovuti per legge, CPA e spese generali 15%</t>
  </si>
  <si>
    <t>Studio Legale Associato Todarello &amp; Partners</t>
  </si>
  <si>
    <t>06268550966</t>
  </si>
  <si>
    <t>Assistenza, rappresentanza e difesa di M4 per la proposizione di quattro ricorsi di opposizione alla stima definitiva dell’indennità di esproprio/asservimento operata dal Collegio peritale incaricato, relativamente alle proprietà site in Milano, Via San Damiano e Corso di Porta Venezia</t>
  </si>
  <si>
    <t>Il presente incarico decorrerà dalla data di presentazione del preventivo da parte dei Consulenti in data 25 marzo 2022 e terminerà con il completamento di tutte le attività riportate in oggetto</t>
  </si>
  <si>
    <t>24.000 oltre iva e contributi previdenziali dovuti per legge, CPA e spese generali 7%</t>
  </si>
  <si>
    <t>Incarico relativo all'assistenza  e tutela nel giudizio dinanzi alla corte di appello di Milano - Ricorso presentato da Immobiliare Forlanini Srl per accettare e richiedere l'indennità per esproprio (R.G. 3590/2019)</t>
  </si>
  <si>
    <t xml:space="preserve">Consulenza tecnica di parte dinanzi alla Corte Di Appello di Milano da parte di Immobiliare Forlanini Srl nei confronti di M4 Spa e Comune di Milano per la determinazione definitiva indennità di esproprio </t>
  </si>
  <si>
    <t>decorrerà dalla data di approvazione del preventivo di spese ovvero dal 28/04/22 e terminerà con il completamento di tutte le attività oggetto dell'incarico</t>
  </si>
  <si>
    <t>5.000 oltre agli oneri dovuti per legge</t>
  </si>
  <si>
    <t xml:space="preserve">Consulenza per la redazione relazione tecnica replica contestazioni da parte della Fondazione Istituto dei Ciechi di Milano a carico di M4 Spa nell'ambito del giudizio di appello dinanzi al Consiglio di Stato per annullamento e/o riforma sentenza TAR Lombardia  </t>
  </si>
  <si>
    <t>decorrerà dalla data di approvazione del preventivo avvenuta in data 18/05/22 e terminerà con il completamento di tutte le attività oggetto dell'incarico</t>
  </si>
  <si>
    <t>5.000 al netto dell'iva e del contributo 4% Inarcassa</t>
  </si>
  <si>
    <t>Impresa Generale di Costruzioni G.B</t>
  </si>
  <si>
    <t>04022210985</t>
  </si>
  <si>
    <t>Lavori edili di adeguamento nuova sede di Piazza Castello</t>
  </si>
  <si>
    <t>Assistenza, rappresentanza e difesa di M4 nel giudizio promosso con ricorso da alcuni condomini del Condominio di Corso Monforte 45, al fine di contestare la determinazione dell'indennità definitiva di asservimento calcolata nella Relazione di stima della Terna Tecnica definita a seguito di procedura svolta ex art. 21 DPR n. 327/2001</t>
  </si>
  <si>
    <t xml:space="preserve">CONFERIMENTO DI INCARICO PER IL SERVIZIO DI DEPOSITO DI N. 15 ATTI DI ISTANZA PRESSO IL TRIBUNALE DI MILANO. </t>
  </si>
  <si>
    <t>Assistenza, rappresentanza e difesa di M4 nel procedimento di mediazione civile promosso dalla Parrocchia di San Vittore al Corpo</t>
  </si>
  <si>
    <t>Il presente incarico decorre dalla data del 10 giugno 2022 e fino al completamento di tutte e terminerà con il completamento di tutte le attività riportate in oggetto</t>
  </si>
  <si>
    <t>4.000 oltre iva e contributi previdenziali dovuti per legge, CPA e spese generali 7%</t>
  </si>
  <si>
    <t>Digiprint</t>
  </si>
  <si>
    <t>07720660963</t>
  </si>
  <si>
    <t>Il presente incarico ha per oggetto il supporto della Società nell’esecuzione di scansioni e riproduzioni di elaborati cartacei composti da relazioni in formato A3 ed A4, e tavole in formato A0</t>
  </si>
  <si>
    <t>12 mesi dalla data di sottoscrizione dell'incarico</t>
  </si>
  <si>
    <t xml:space="preserve">il corrispettivo non dovrà superare l’importo di euro 5000 al netto di IVA nell’intero arco temporale dei dodici mesi dalla sottoscrizione </t>
  </si>
  <si>
    <t>85.000 oltre oneri e contributi di legge
7.000 importo proroga mese di luglio 2022</t>
  </si>
  <si>
    <t>Servizio di aggiornamento del modello 231 (MOGC)</t>
  </si>
  <si>
    <t>Il presente contratto decorre dalla sua sottoscrizione e terminerà entro 150 giorni dalla firma dello stesso</t>
  </si>
  <si>
    <t>Garage Zeus</t>
  </si>
  <si>
    <t>03569200961</t>
  </si>
  <si>
    <t>Contratto per il servizio di rimessaggio auto in favore dell'università statale di Milano</t>
  </si>
  <si>
    <t xml:space="preserve"> Il servizio di Rimessaggio decorrerà dalla data del 27 luglio 2022 fino al 26 dicembre 2023</t>
  </si>
  <si>
    <t>Il compenso per il servizio di ricovero di 25 auto, è pari ad euro 220 + IVA mensili per
posto auto, per un totale complessivo di euro 5.500,00 (cinquemilacinquecento/00) mese
al netto di IVA e dei contributi previdenziali nella misura dovuta per legge</t>
  </si>
  <si>
    <t>CONFERIMENTO DI INCARICO PROFESSIONALE PER ASSISTENZA,
RAPPESENTANZA E DIFESA NEL GIUDIZIO PROMOSSO DA URBAN VISION S.P.A.
DINANZI AL TAR MILANO PER L’ANNULLAMENTO DELL’ART. 3.1, TERZO COMMA,
DEL DISCIPLINARE DI GARA</t>
  </si>
  <si>
    <t>Il presente incarico decorre dalla data presentazione del preventivo di spesa
da parte del Consulente del 26.01.2022 e sino al completamento di tutte le attività elencate
al punto 1 che si rendano necessarie</t>
  </si>
  <si>
    <t>3.000 € oltre a spese generali al 15%, spese vive documentate, IVA
e CPA come per legge</t>
  </si>
  <si>
    <t xml:space="preserve"> dal 1° settembre 2021 e terminerà in data 30 giugno 2022
20/07/2022 proroga mese di luglio 2022</t>
  </si>
  <si>
    <t>21/10/2021
20/07/2022 proroga</t>
  </si>
  <si>
    <t>Concessione degli spazi pubblicitari all'interno delle aree di cantiere relative alla realizzazione della linea M4</t>
  </si>
  <si>
    <t xml:space="preserve">NUMERO FATTURA </t>
  </si>
  <si>
    <t xml:space="preserve">DATA PAGAMENTO </t>
  </si>
  <si>
    <t>Accordo quadro SIRTI - M4  attività connesse alla risoluzione delle interferenze; ordini attuativi assegnati a SIRTI dalla Concessionaria a seguito della formalizzazione di apposita ordinanza
- 20/07/2022 Addendum all'accordo quadro avente ad oggetto l'affidamento delle attività di progettazione esecutiva ed esecuzione di lavori per la risoluzione delle interferenze di gestori di reti di telecomunicazioni interferenti con l'opera per la realizzazione della linea 4 della Metropolitana di milano del 13 luglio 2016</t>
  </si>
  <si>
    <t>13/07/2016
20/07/2022</t>
  </si>
  <si>
    <t>il contratto avrà termine all'ultimazione delle attività di rimozione completa delle interferenze degli operatori TLC
- invariato rispetto all'accordo quadro - unica modifica apportata all'accordo quadro si riferisce all'art.8 - paragrafo 8.1 relativo ai termini di pagamento e fatturazione</t>
  </si>
  <si>
    <t xml:space="preserve">36 mesi dalla sosttoscrizione (dal 26/04/2017 al 26/04/2020)
proroga dal 27/04/2020 al 08/07/2020
nuovo contratto dal 09/07/2020 al 08/07/2021 - nuovo contratto dal 10/07/2021 al 08/04/2022
proroga aprile - luglio oda n. 060/22 del 29/07/2022 </t>
  </si>
  <si>
    <t>Assistenza e difesa di M4 nel giudizio promosso da Alea Domus, volto ad ottenere la determinazione giudiziale dell’indennità di asservimento delle aree di sua proprietà</t>
  </si>
  <si>
    <t>Il presente incarico decorrerà dalla data di presentazione del preventivo e sua accettazione, intervenuta in data 18 novembre 2021 e terminerà con il completamento di tutte le attività sopra descritte, ossia con la definizione del giudizio sopra emarginato.</t>
  </si>
  <si>
    <t>10.500 oltre a IVA, CPA, spese oltre a IVA, CPA, generali e spese vive documentate</t>
  </si>
  <si>
    <t>Il presente contratto decorrerà a partire dalla data di sottoscrizione e terminerà ad esaurimento dell’importo contrattuale</t>
  </si>
  <si>
    <t>39.900€ al netto dell’IVA e altri oneri di legge se dovuti</t>
  </si>
  <si>
    <t>Il presente incarico ha per oggetto il servizio di accatastamento e produzione dell’Attestato di Prestazione Energetica (APE)</t>
  </si>
  <si>
    <t>21.250 al netto dell’IVA e altri oneri di legge se dovuti</t>
  </si>
  <si>
    <t xml:space="preserve">Il presente incarico decorrerà a partire dalla data di sottoscrizione e terminerà con il completamento di tutte le attività </t>
  </si>
  <si>
    <t xml:space="preserve">- attività di assistenza ordinaria: due anni a decorrere dal 6 settembre 2022
'- attività di assistenza straordinaria: fino a sottoscrizione della documentazione finanziaria
ed ogni altro atto che si rendesse necessario ai fini del riequilibrio ed alla ripresa delle
erogazioni e comunque non oltre il 31/12/2023
</t>
  </si>
  <si>
    <t>euro 70.000,00 comprensivo delle spese generali ed al netto di IVA e del 4% dovuto per la cassa di previdenza forense obbligatoria</t>
  </si>
  <si>
    <t xml:space="preserve">Oggetto del presente incarico è assistenza legale in relazione al contratto di finanziamento project ed ai contratti di progetto per la progettazione, costruzione e gestione della Linea 4
</t>
  </si>
  <si>
    <t>Genovese Consulting S.r.l.s.</t>
  </si>
  <si>
    <t>12713530017</t>
  </si>
  <si>
    <t>Il presente incarico professionale ha ad oggetto lo svolgimento dell’attività di consulenza tecnica di parte (ad es. partecipazione ai lavori peritali, sopralluoghi, riunioni, redazione memorie, osservazioni, controdeduzioni ecc.) nell’ambito del ricorso per l’opposizione alla stima promosso da M4 dinanzi alla Corte d’Appello di Milano nei confronti di Basilio S.r.l.</t>
  </si>
  <si>
    <t>euro 5.000,00 al netto di IVA e oneri di Legge</t>
  </si>
  <si>
    <t>Il presente incarico decorrerà dalla data di sottoscrizione e terminerà con il completamento di tutte le attività descritte all’articolo che precede</t>
  </si>
  <si>
    <t>EY Advisory SpA</t>
  </si>
  <si>
    <t>13221390159</t>
  </si>
  <si>
    <t>Conferimento di incarico per il servizio di internal auditor per M4</t>
  </si>
  <si>
    <t>Il presente incarico decorrerà dalla data di sottoscrizione tra le parti per una durata di 24 mesi.</t>
  </si>
  <si>
    <t>euro 54.000,00 al netto di IVA e oneri di Legge</t>
  </si>
  <si>
    <t>dal 25 settembre 2022 e avrà durata di 12 mesi</t>
  </si>
  <si>
    <t>dal 24 settembre 2021 e avrà durata di 12 mesi</t>
  </si>
  <si>
    <t>euro 7500 al netto dell’IVA</t>
  </si>
  <si>
    <t>euro 7500 al netto dell’IVA
A partire dal 01 gennaio 2023, le tariffe dei canoni dei servizi erogati saranno rivalutate di una percentuale pari al 6,45% in considerazione della variazione annuale dell’indice FOI-ISTAT</t>
  </si>
  <si>
    <t>Poletti Copindustria Srl</t>
  </si>
  <si>
    <t>00773060967</t>
  </si>
  <si>
    <t>Incarico per la redazione di un parere legale volto a definire le modalità attuative e le implicazioni dello strumento di riscossione delle sanzioni comminate nei confronti degli operatori economici della filiera che sono stati raggiunti da una notifica di sanzione ai sensi dell'art. 2 dell'Addendum al Protocollo di Legalità.</t>
  </si>
  <si>
    <t>Il presente incarico decorre dalla data di sottoscrizione tra le Parti e terminerà con l’emissione del parere da inviarsi entro 72 ore.</t>
  </si>
  <si>
    <t>euro 2.000,00 al netto di spese generali (15%), IVA e CPA</t>
  </si>
  <si>
    <t>BARTOLOZZI ILARIA STEFANIA</t>
  </si>
  <si>
    <t>BRTLST73L54F205E</t>
  </si>
  <si>
    <t>Incarico professionale di natura autonoma e occasionale</t>
  </si>
  <si>
    <t>AVV ANTONIO LORITO</t>
  </si>
  <si>
    <t>01576450892</t>
  </si>
  <si>
    <t>incarico ha per oggetto l’assistenza, la rappresentanza e la difesa nel giudizio di accertamento tecnico preventivo ex art. 696-bis c.p.c. promosso dall’Avv. Filippo Mario Gramegna a carico della Società, dinanti al Tribunale di Milano, Sez. X civile, Giudice Dott.ssa Lucia FrancescaIori, R.G. n. 9652/2022.</t>
  </si>
  <si>
    <t>Il presente incarico decorre dalla data di assegnazione dell’incarico, ovvero dalla data del 16 dicembre 2022 e terminerà con il completamento di tutte le attività inerenti e connesse allo svolgimento del giudizio sopra emarginato</t>
  </si>
  <si>
    <t>euro 1.707,17 onorario comprensivo delle spese generali al 15%, della Cassa Avvocati al 4%, dell’IVA al 22% calcolata sull’imponibile e della deduzione della ritenuta d’acconto al 20%, al netto delle spese vive da documentare</t>
  </si>
  <si>
    <t>Il presente incarico decorre dell'1/01/2023 e dovrà essere reso fino al 30/06/2024</t>
  </si>
  <si>
    <t xml:space="preserve">euro 39.900 </t>
  </si>
  <si>
    <t>GBSAPRI SPA</t>
  </si>
  <si>
    <t>L'incarico professionale oggetto del presente disciplinare concerne lo svolgimento dell'attività del broker
di assicurazione a favore di SPV Linea M4 S.p.A ai sensi del D. Lgs. 209/2005 e Regolamento ISVAP
(ora IVASS) n. 5 del 16/10/2006, nonché del Regolamento IVAS n. 40/2018 (di seguito definite
“Normative Vigenti”) delle seguenti polizze assicurative:
- D&amp;O;
- RC Patrimoniale;
- Multirischi;
- Infortuni;
- Vita;
- (eccesso) Polizza di Responsabilità Civile Terzi per la gestione della linea M4;
- Polizza All Risks property con appendice Business Interruption per la gestione della linea M4.</t>
  </si>
  <si>
    <t>Il presente incarico ha durata di 24 (ventiquattro) mesi con decorrenza dalla data di aggiudicazione del
22 dicembre 2022 con riserva di eventuale proroga del contratto ai medesimi prezzi, patti e condizioni
iniziali, ai sensi dell’art. 106, comma 11, del Dlgs. n. 50/2016 e ss.mm.ii., di durata non superiore a mesi
6 (sei), per il tempo strettamente necessario alla conclusione delle procedure per l’individuazione di un
nuovo contraente.</t>
  </si>
  <si>
    <t>Tutte le prestazioni fornite da GBSAPRI, nella sua qualità di broker di assicurazione, sono a titolo
gratuito e quindi nessun onere sarà posto a carico o in aggiunta a SPV Linea M4 S.p.A. in quanto
l’opera del broker verrà remunerata dalle Compagnie di assicurazione con le quali verranno stipulate
le polizze secondo gli usi consolidati del mercato, nella misura dell’aliquota provvigionale offerta pari al
3% (tre per cento)</t>
  </si>
  <si>
    <t>Studio Legale Associato Cugurra Pontiroli Molinari Masi</t>
  </si>
  <si>
    <t>02060940349</t>
  </si>
  <si>
    <t>decorre dalla data di aggiudicazione del 14 dicembre 2022 e terminerà
con il completamento di tutte le attività connesse e relative al giudizio oggetto dell'incarico</t>
  </si>
  <si>
    <t>6.140,69 (seimilacentoquaranta/69), onorario comprensivo delle
spese generali al 15%, della Cassa Avvocati al 4%, dell’IVA al 22% calcolata
sull’imponibile e della deduzione della ritenuta d’acconto al 20%, al netto delle spese vive
da documentare</t>
  </si>
  <si>
    <t>Avv. Roberto Ollari</t>
  </si>
  <si>
    <t>01855430342</t>
  </si>
  <si>
    <t>assistenza, rappresentanza e  difesa nel giudizio di
opposizione alla stima dell’indennità definitiva di asservimento determinata ex art. 41, D.P.R. n.
327/2001 da parte della Commissione Provinciale Espropri di Milano (aree site in Milano, Corso
Monforte n. 39), promosso a carico di M4 S.p.A. innanzi alla Corte d’Appello di Milano, R.G. n.
2672/2022, Presidente Dott.ssa Raineri.</t>
  </si>
  <si>
    <t>decorre dalla data di aggiudicazione (14.12.2022) e terminerà con il
completamento di tutte le attività connesse e relative al giudizio oggetto dell'incarico</t>
  </si>
  <si>
    <t>7.500,00 (settemilacinquecento/00), onorario comprensivo delle
spese generali al 15%, della Cassa Avvocati al 4%, dell’IVA al 22% calcolata
sull’imponibile e della deduzione della ritenuta d’acconto al 20%, al netto delle spese vive
da documentare</t>
  </si>
  <si>
    <t>Ludovico Gualzetti</t>
  </si>
  <si>
    <t>02212420968</t>
  </si>
  <si>
    <t>consulenza specialistica per l'elaborazione di una proposta grafica coordinata alla nostra immagine che comunichi la fase di apertura delle prime stazioni</t>
  </si>
  <si>
    <t>decorre dal 24/10/2022 e sino al completamento di tutte le attività di cui all'oggetto</t>
  </si>
  <si>
    <t>3500€ al netto di IVA e contributo INPS 4%</t>
  </si>
  <si>
    <t xml:space="preserve">Contratto lavoro a tempo determinato (Paone) </t>
  </si>
  <si>
    <t xml:space="preserve">dal 22/03/2022 al 17/03/2023
</t>
  </si>
  <si>
    <t xml:space="preserve">paga base 1.108,41
contingenza 516,43
premio produzione 215,94
edr 10,33
</t>
  </si>
  <si>
    <t xml:space="preserve">Contratto lavoro a tempo determinato (Mangialavori) </t>
  </si>
  <si>
    <t xml:space="preserve">dal 30/01/2023 al 30/06/2023
</t>
  </si>
  <si>
    <t xml:space="preserve">paga base 1.108,41
contingenza 516,43
premio produzione 215,94
edr 10,33
superminimo non assorbibile 241,06 importo ticket 11,00 </t>
  </si>
  <si>
    <t>WEBUILD ITALIA SpA</t>
  </si>
  <si>
    <t>01/01/2023 - 31/12/2023</t>
  </si>
  <si>
    <t>Il presente incarico professionale ha ad oggetto lo svolgimento dell’attività di consulenza
tecnica di parte nell’ambito del giudizio ex art. 54, D.P.R. 327/2001, promosso da
Speroni Real Estate ed altri condomini nei confronti di M4 S.p.A. (Compendio
immobiliare di Milano Corso Monforte n. 45) dinanzi alla Corte d’Appello di Milano Sez.
I civile, R.G. n. 3609/2021, Giudice Bonaretti. A titolo esemplificativo ma non limitativo,
detta attività comprende: la partecipazione a sopralluoghi, confronti tecnici con il
consulente tecnico nominato dal tribunale e il c.t.p. di controparte, la redazione di
relazioni/osservazioni, la redazione di verbale, la partecipazione a riunioni inerenti alla
causa</t>
  </si>
  <si>
    <t>Il presente incarico decorrerà dalla data di approvazione del preventivo di spesa, ovvero
dalla data del 13 dicembre 2022, e terminerà con il completamento di tutte le attività
descritte all’articolo che precede</t>
  </si>
  <si>
    <t>l’assistenza di natura stragiudiziale e la redazione di un
parere legale circa l’affidamento del servizio di brokeraggio assicurativo di M4 S.p.A. e
relativa valutazione della possibilità di ricorrere al soccorso istruttorio considerando gli
elementi dell’offerta tecnica presentata da uno degli Operatori Economici</t>
  </si>
  <si>
    <t>il presente incarico decorre dalla data presentazione del preventivo di spesa da parte della Consulente del 02 dicembre 2022 e sino al completamento di tutte le attività elencate al punto 1 che si rendano necessarie</t>
  </si>
  <si>
    <t>1.000€ oltre a spese generali al 15%,  IVA e CPA come per legge</t>
  </si>
  <si>
    <t>14/10/2002
proroga 16/01/2023</t>
  </si>
  <si>
    <t>17/10/22 al 16/01/2023
proroga 17/1/2023-16/02/2023</t>
  </si>
  <si>
    <t>euro 5.000,00 comprensivi di Iva e altri oneri di legge
proroga euro 1.666,00 comprensivi di Iva e altri oneri di legge</t>
  </si>
  <si>
    <r>
      <t>distacco decorre dal 14/12/2020 al 30/11/2023--&gt;</t>
    </r>
    <r>
      <rPr>
        <b/>
        <sz val="7.7"/>
        <color theme="1"/>
        <rFont val="Calibri"/>
        <family val="2"/>
      </rPr>
      <t>revoca distacco 27.11.2022</t>
    </r>
    <r>
      <rPr>
        <sz val="11"/>
        <color theme="1"/>
        <rFont val="Calibri"/>
        <family val="2"/>
        <scheme val="minor"/>
      </rPr>
      <t xml:space="preserve">
la convenzione  avrà durata sino al 30/11/2023 con possibilità di proroga da definirsi entro 30 gg dalla scadenza</t>
    </r>
  </si>
  <si>
    <t>CISL</t>
  </si>
  <si>
    <t>protocollo sicurezza cantieri M4 - distacco lavoratori dai sindacati 
Distacco Sanguedolce Romina Maria rappresentante sindacali art. 30</t>
  </si>
  <si>
    <t>80043230152</t>
  </si>
  <si>
    <t xml:space="preserve">Incarico per la verifica indipendente dell'inteferenza tra la costruzione di opere della linea M4 e il complesso storico-monumentale della Cà Granda
14.11.2022 Addendum al contratto </t>
  </si>
  <si>
    <t>49.500€ oltre contributi previdenziali
7.455€ addendum al contratto</t>
  </si>
  <si>
    <t xml:space="preserve">TERMINATO </t>
  </si>
  <si>
    <t>DGPA &amp; CO SPA</t>
  </si>
  <si>
    <t>10448410158</t>
  </si>
  <si>
    <t>Incarico per il servizio di consulenta relativo alla valorizzazione del pacchetto azionario di M4</t>
  </si>
  <si>
    <t>Il presente incarico decorrerà dalla data di aggiudicazione del presente incarico (9 febbraio 2023) e fino ad un periodo di 45 giorni naturali e consecutivi.</t>
  </si>
  <si>
    <t>45.000€ al netto di IVA, spese e oneri di legge</t>
  </si>
  <si>
    <t>assistenza, la rappresentanza e la difesa della Società nel
giudizio promosso ex art. 54, D.P.R. n. 327/2001, a carico della medesima, dinanzi alla Corte
d’Appello di Milano (R.G. n. 3672/2022), da parte di Fandi di Alessandro Lodigiani &amp; C. S.a.s.,
avente ad oggetto l’opposizione alla stima definitiva dell’indennità di asservimento determinata
dalla nominata Terna peritale, ex art. 21, D.P.R. n. 327/2001</t>
  </si>
  <si>
    <t>Il presente incarico decorre dalla data di approvazione del preventivo di spesa presentato da
parte dei Consulenti in data 06.02.2023 e terminerà con il completamento di tutte le attività
sopra descritte, inerenti e conseguenti all’oggetto dell’incarico</t>
  </si>
  <si>
    <t>4.996,00 (quattromilanovecentonovantasei/00) al netto delle spese generali
al 15%, della Cassa Avvocati al 4%, dell’IVA al 22% e della ritenuta d’acconto al 20% su onorari
e di eventuali spese vive da documentare</t>
  </si>
  <si>
    <t>Incarico per il servizio di consulente tecnico di parte nell'ambito del giudizio promosso da Fandi di Alessandro Lodigiani &amp; C. S.a.s</t>
  </si>
  <si>
    <t>Il presente incarico decorrerà dalla data di sottoscrizione e terminerà con il completamento di tutte le attività elencate nell'oggetto</t>
  </si>
  <si>
    <t xml:space="preserve">SIRTI DIGITAL SOLUTIONS </t>
  </si>
  <si>
    <t>Il presente contratto decorre dalla sua sottoscrizione e avrà termine in data 31 dicembre 2023</t>
  </si>
  <si>
    <t>Incarico per l'assistenza alle attività dell'OdV ex D.Lgs 231/2001 - Esercizio 2023</t>
  </si>
  <si>
    <r>
      <t xml:space="preserve">Incarico di integrazione e coordinamento della progettazione architettonica inerente allo sviluppo del progetto  definitivo ed esecutivo della passerella ciclopedonale di collegamento tra i quartieri di lorenteggio e ronchetto sul naviglio.
</t>
    </r>
    <r>
      <rPr>
        <sz val="9.35"/>
        <color theme="1"/>
        <rFont val="Calibri"/>
        <family val="2"/>
      </rPr>
      <t>18.04.2023 ADDENDUM n.1</t>
    </r>
    <r>
      <rPr>
        <sz val="11"/>
        <color theme="1"/>
        <rFont val="Calibri"/>
        <family val="2"/>
        <scheme val="minor"/>
      </rPr>
      <t xml:space="preserve"> relativamente alla modifica della contabilizzazione e pagamenti</t>
    </r>
  </si>
  <si>
    <t>Attività di assistenza, rappresentanza e difesa nel giudizio promosso, a carico – tra l’altro – di M4 S.p.A. dinanzi al TAR per la Lombardia – Milano da parte di C.S.F. – Cronos Sistemi Ferroviari S.p.A.</t>
  </si>
  <si>
    <t>€ 5.500 al netto dell’IVA e degli oneri di legge e delle spese generali nella misura del 15%</t>
  </si>
  <si>
    <t>01305231001</t>
  </si>
  <si>
    <t xml:space="preserve">CHIOMENTI STUDIO LEGALE </t>
  </si>
  <si>
    <t>Oggetto del presente incarico è l’affidamento delle seguenti attività di assistenza legale:
a. predisposizione nomina per il ruolo di amministratore di sistema ex Provvedimento del
Garante del 27 novembre 2008 e ss.mm.ii. (“Ads”);
b. supporto nell’individuazione di eventuali strumenti di controllo sull’operato degli Ads.</t>
  </si>
  <si>
    <t>Il presente incarico decorre dalla data di sottoscrizione tra le Parti fino al completamento di tutte
le attività elencate nell'oggetto, previsto entro la metà di maggio 2023</t>
  </si>
  <si>
    <t>euro 3.600,00 al netto di spese generali al 5% (in luogo del 15% previsto dal DM 55/2014), CPA al 4%, IVA al 22% e spese vive documentate.</t>
  </si>
  <si>
    <t>07583180968</t>
  </si>
  <si>
    <t>Oggetto del presente incarico è l’assistenza, la rappresentanza e la difesa di M4 S.p.A. nel
giudizio promosso dinanzi alla Corte d’Appello di Milano con ricorso in opposizione alla stima ex
art. 54, D.P.R. 327/2001, 29 D.Lgs. n. 150/2011 e 702-bis c.p.c. dalla Fondazione Istituto dei
Ciechi di Milano – Onlus a carico – tra l’altro – di M4 S.p.A., R.G. n. 96/2023.</t>
  </si>
  <si>
    <t>Il presente incarico decorre dalla data di sottoscrizione tra le Parti fino al completamento di tutte le attività elencate nell'oggetto</t>
  </si>
  <si>
    <t>euro 48.556,00, al netto
di spese generali al 15%, Cassa Avvocati al 4%, IVA al 22%, ritenuta d’acconto al 20% e spese
vive da documentate</t>
  </si>
  <si>
    <t>Oggetto del presente incarico è l’attività di assistenza, rappresentanza e difesa di M4 S.p.A. nel giudizio promosso dinanzi al Tribunale di Milano da parte di Leonardo S.p.A.</t>
  </si>
  <si>
    <t>euro 15.000,00, al netto
di spese generali al 15%, Cassa Avvocati al 4%, IVA al 22% e spese vive da documentate</t>
  </si>
  <si>
    <t>Il presente incarico professionale ha ad oggetto lo svolgimento dell’attività di consulenza
tecnica di parte nell’ambito del giudizio di opposizione alla stima definitiva della indennità
di asservimento promossa ex art. 54, D.P.R. n. 327/2001, dinanzi alla Corte d’Appello di
Milano da parte di Ambros Saro S.r.l. avverso M4 S.p.A..</t>
  </si>
  <si>
    <t>euro 2.400,00 per onorario al netto di spese generali al 25%,
InArCassa al 4% ed IVA al 22%.</t>
  </si>
  <si>
    <t>03249880711</t>
  </si>
  <si>
    <t>Oggetto del presente incarico è la rettifica di n° 4 decreti di servitù già precedentemente notificati comprensivi dei necessari adempimenti amministrativi.</t>
  </si>
  <si>
    <t>Il compenso per le prestazioni professionali oggetto del presente incarico è determinato nella
misura di euro 300,00 (trecento/00) per ogni singola rettifica, per un ammontare complessivo di euro 1.200,00 (milleduecento/00) al netto di IVA e di tutti gli oneri e costi della procedura quali pubblicazione, trascrizione, registrazione, notifiche, ecc.</t>
  </si>
  <si>
    <t>02309220602</t>
  </si>
  <si>
    <t>Il presente incarico ha per oggetto il servizio di accatastamento e produzione dell’Attestato di Prestazione Energetica (APE) 
A) ACCATASTAMENTO Stazione Tricolore, Stazione San Babila, Manufatto San Damiano, Manufatto Augusto.
B) DETERMINAZIONE TARI Stazione Tricolore, Stazione San Babila.
C) ATTESTATO DI PRESTAZIONE ENERGETICA</t>
  </si>
  <si>
    <t>Il presente incarico decorrerà dalla data di sottoscrizione dello stesso, e terminerà con il completamento di tutte le attività descritte nell'oggetto</t>
  </si>
  <si>
    <t>13.700 al netto dell’IVA e altri oneri di legge se dovuti
Il compenso sarà così suddiviso:
- Accatastamento di n. 2 stazioni: € 9.000,00;
- Accatastamento n. 2 pozzi: € 4.000,00;
- Per le sole 2 stazioni, calcolo TARI e redazione APE: € 700,00.</t>
  </si>
  <si>
    <t>Build.Ing S.r.l.</t>
  </si>
  <si>
    <t>09041010969</t>
  </si>
  <si>
    <t>Affidamento del Servizio di Responsabile dei Lavori, nell’ambito dell’esecuzione dei lavori di costruzione della Linea 4 della metropolitana di Milano</t>
  </si>
  <si>
    <t>Il Servizio oggetto del Contratto avrà durata pari a mesi 18 a decorrere dal 6 giugno 2023</t>
  </si>
  <si>
    <t>euro 69.300 oltre Iva</t>
  </si>
  <si>
    <t>Canevari Service Group S.r.l.</t>
  </si>
  <si>
    <t>09531330968</t>
  </si>
  <si>
    <t>Affidamento del servizio di conduzione e manutenzione ordinaria generale degli impianti di climatizzazione e condizionamento presso gli uffici di M4</t>
  </si>
  <si>
    <t xml:space="preserve">Il presente incarico decorre dalla data di sottoscrizione tra le Parti per una durata massima di anni 2; lo stesso potrà essere prorogato per il periodo strettamente necessario all’individuazione di un nuovo affidatario per un periodo massimo di mesi 2 </t>
  </si>
  <si>
    <t>euro 4.500 al netto dell'iva</t>
  </si>
  <si>
    <t>Oggetto del presente incarico è la rettifica di n° 10 decreti di servitù di galleria già precedentemente notificati comprensivi dei necessari adempimenti amministrativi.</t>
  </si>
  <si>
    <t>Il compenso per le prestazioni professionali oggetto del presente incarico è determinato nella
misura di euro 300,00 (trecento/00) per ogni singola rettifica che verrà effettivamente predisposta
dalla Consulente, da riconoscersi sino ad un ammontare complessivo massimo di euro 3.000,00
(tremila/00), al netto di IVA e di tutti gli oneri e costi della procedura quali pubblicazione,
trascrizione, registrazione, notifiche, ecc.</t>
  </si>
  <si>
    <t>BDO ADVISORY SERVICE</t>
  </si>
  <si>
    <t>CLIENTE</t>
  </si>
  <si>
    <t>10/02/2021
(da contratto inviato da Videowall - data di sottoscrizione il 26/7/2021)</t>
  </si>
  <si>
    <t>CONFERIMENTO DI INCARICO PER ASSISTENZA, RAPPRESENTANZA E DIFESA NEL
GIUDIZIO DI OPPOSIZIONE ALLA STIMA DEFINITIVA DELL’INDENNITA’ DI
ASSERVIMENTO PROMOSSO EX ARTT. 54 D.P.R. N. 327/2001 DA AMBROS SARO S.R.L.
A CARICO DI M4 S.P.A. – CIG Z3738D1238 assistenza,  rappresentanza e difesa nel giudizio di
opposizione alla stima dell’indennità definitiva di asservimento determinata ex art. 21, D.P.R. n.
327/2001 da parte della nominata Terna tecnica, promosso a carico di M4 S.p.A. innanzi alla
competente Corte D’Appello di Milano, R.G. n. 3138/2022</t>
  </si>
  <si>
    <t>Insurance advisory _ addendum to the original engagement letter and proposal for additional Activities - consulenza due digilence PEMA _ Polizza RCT</t>
  </si>
  <si>
    <t>Ad emission del report</t>
  </si>
  <si>
    <t>5000 oltre iva</t>
  </si>
  <si>
    <t>02717250126</t>
  </si>
  <si>
    <t xml:space="preserve">CONFERIMENTO DI INCARICO PER ASSISTENZA LEGALE RELATIVA ALLO SVINCOLO
DELLE INDENNITA’ PROVVISORIE RELATIVE A PROCEDURE
ESPROPRIATIVE/ASSERVIMENTO/OCCUPAZIONE TEMPORANEA </t>
  </si>
  <si>
    <t>decorre dalla data di sottoscrizione tra le Parti fino al completamento di tutte
le attività elencate al punto 1 del contrato</t>
  </si>
  <si>
    <t>Euro 850,00 al netto di IVA al 22%, spese generali al 15%, CPA al 4% e spese vive da
documentare e rimarrà fisso ed invariato per i primi 40 procedimenti di svincolo delle indennità
richiesti da M4 entro il 30 dicembre 2024 fino ad un corrispettivo massimo di Euro 35.000,00 al
netto di IVA al 22%, spese generali al 15%, CPA al 4% e spese vive</t>
  </si>
  <si>
    <t>31/03/2022
16/03/2023 agg. tariffe</t>
  </si>
  <si>
    <r>
      <t xml:space="preserve">alloggi: 590 € per camera/mese
pranzo: 8€ cadauna
cena: 8€ cadauna
colazione: 1,5€ cadauna
</t>
    </r>
    <r>
      <rPr>
        <b/>
        <sz val="11"/>
        <color theme="1"/>
        <rFont val="Calibri"/>
        <family val="2"/>
      </rPr>
      <t xml:space="preserve">'aggiornamento tariffe del 16/03/2023
</t>
    </r>
    <r>
      <rPr>
        <sz val="11"/>
        <color theme="1"/>
        <rFont val="Calibri"/>
        <family val="2"/>
        <scheme val="minor"/>
      </rPr>
      <t>alloggi: 320 € per camera/mese
pranzo: 9€ cadauna
cena: 9€ cadauna
colazione: 1,7€ cadauna</t>
    </r>
  </si>
  <si>
    <t>01/01/2022-31/12/2022</t>
  </si>
  <si>
    <t>Attività di assistenza, rappresentanza e difesa nel giudizio promosso da NBI Spa a carico di M4 S.p.A. avanti al tribunale di Milano</t>
  </si>
  <si>
    <t>€ 10.000 al netto dell’IVA e degli oneri di legge e delle spese generali nella misura del 15%</t>
  </si>
  <si>
    <t>Incarico per il servizio di consulente tecnico di parte nell'ambito del giudizio promosso a carico di M4 dai Sig.ri Eliana Maria ed Enrico Maria Maestri</t>
  </si>
  <si>
    <t>CONTRATTO PER LA FORNITURA DI BUONI PASTO ELETTRONICI A
FAVORE DEL PERSONALE DIPENDENTE DI M4</t>
  </si>
  <si>
    <t>05892970152</t>
  </si>
  <si>
    <t>49.500 oltre iva</t>
  </si>
  <si>
    <t>tre anni dalla sottoscrizione</t>
  </si>
  <si>
    <t xml:space="preserve">01/10/2020
</t>
  </si>
  <si>
    <t>ottobre, novembre e dicembre 2023</t>
  </si>
  <si>
    <t>2.709,57 oltre oneri e contributi di legge</t>
  </si>
  <si>
    <t xml:space="preserve">31.264,20 oltre oneri e contributi di legge
</t>
  </si>
  <si>
    <t xml:space="preserve">CIG </t>
  </si>
  <si>
    <t>ZC52DCBA88</t>
  </si>
  <si>
    <t xml:space="preserve">05/10/2023 PROROGA per ulteriori tre mesi </t>
  </si>
  <si>
    <t>Redazione di n. 2 Atti notarili di esproprio e di servitù di passaggio relativi a proprietà appartementi al Comune di Milano</t>
  </si>
  <si>
    <t>4000 oltre oneri e contributi di legge</t>
  </si>
  <si>
    <t>Il presente incarico decorrerà dalla data di sottoscrizione dello stesso e terminerà con il completamento di tutte le attività riportate nell'oggetto</t>
  </si>
  <si>
    <t>Z573C8B2F0</t>
  </si>
  <si>
    <t>Z673CA23FC</t>
  </si>
  <si>
    <t>99363030A2</t>
  </si>
  <si>
    <t>98676198CB</t>
  </si>
  <si>
    <t>01513200491</t>
  </si>
  <si>
    <t>Studio Legale Bucchi &amp; Micalella</t>
  </si>
  <si>
    <t>Assistenza, rappresentanza e difesa di M4 S.p.A, dinanzi all’Organismo di conciliazione dell’Ordine degli Avvocati di Milano, nel procedimento di mediazione civile ex D.lgs. 28/2010 e s.m.i. promosso da Vallecamonica Impianti S.r.l</t>
  </si>
  <si>
    <t>euro 5.400 al netto di spese generali al 5% (in luogo del 15% previsto dal DM 55/2014), CPA al 4%, IVA al 22% e spese vive documentate
- Fase di attivazione: Euro 900 oltre IVA, CPA e spese generali
‐ Fase di negoziazione: Euro 2.000 oltre IVA, CPA e spese generali
‐ Fase di conciliazione Euro 2.500 oltre IVA, CPA e spese generali</t>
  </si>
  <si>
    <t>Z243D24CF4</t>
  </si>
  <si>
    <t>Attività di consulenza tecnica di parte nell’ambito del giudizio pendente dinanzi la Corte d’Appello di Milano R.G. n. 96/2023, promosso da Fondazione Istituto Ciechi di Milano</t>
  </si>
  <si>
    <t>Il presente incarico decorrerà dalla data di sottoscrizione e terminerà con il completamento di tutte le attività descritte nell'oggetto</t>
  </si>
  <si>
    <t>euro 3.600 per onorario al netto di spese generali al 25%, InArCassa al 4% ed IVA al 22%</t>
  </si>
  <si>
    <t xml:space="preserve"> Z7A3C3D369</t>
  </si>
  <si>
    <t>Attività di assistenza, rappresentanza e difesa di M4 S.p.A. nel giudizio promosso con ricorso dinanzi al TAR per la Lombardia, sede di Milano (Sez. V), dal Condominio di Via Pantano n. 2, a carico – tra l’altro – di M4 S.p.A. (R.G. n. 1424/2023 – Presidente Dott. Dongiovanni).</t>
  </si>
  <si>
    <t>euro 10.000,00, al netto di spese generali al 15%, CPA al 4%, IVA al 22%, ritenuta d’acconto al 20% e spese vive da documentare.</t>
  </si>
  <si>
    <t>Z173C3D333</t>
  </si>
  <si>
    <t>Studio Legale GPA Giuspubblicisti Associati</t>
  </si>
  <si>
    <t>ZC03D2E4D0</t>
  </si>
  <si>
    <t>Sistema informativo per la gestione del protocollo di corrispondenza e la conservazione digitale dei documenti</t>
  </si>
  <si>
    <t>dal 26 settembre 2023 e avrà durata di 12 mesi</t>
  </si>
  <si>
    <t>euro 8.422.85 al netto dell’IVA. 
A partire dal 01 gennaio 2023, le tariffe dei canoni dei servizi erogati sono state rivalutate di una percentuale pari al 5,5% in considerazione della variazione annuale dell’indice FOI-ISTAT.</t>
  </si>
  <si>
    <t xml:space="preserve">il programma di attuazione della revisione contabile limitata sarà strutturato in differenti fasi che verranno svolte sia nel corso della durata dell'incario sia dopo la sua chiusura </t>
  </si>
  <si>
    <t>Revisione contabile limitata del bilancio semestrale al 30 giugno 2023</t>
  </si>
  <si>
    <t>4.700 oltre iva</t>
  </si>
  <si>
    <t>Z9C3D42587</t>
  </si>
  <si>
    <t>attività di assistenza legale stragiudiziale volta alla conclusione di un accordo transattivo con Immobiliare Forlanini a seguito della definizione dei giudizi svoltisi dinanzi la C. d'Appello di Milano – R.G. nn. 3590/2019 e 3612/2021.</t>
  </si>
  <si>
    <t>euro 6.800,00, al netto di spese generali al 15%, CPA al 4%, IVA al 22%, ritenuta d’acconto al 20% e spese vive da documentare.</t>
  </si>
  <si>
    <t>ZC33D4A4B7</t>
  </si>
  <si>
    <t>Z7A3D567C3</t>
  </si>
  <si>
    <t>10.000 al netto dell’IVA, delle spese amministrative e delle imposte</t>
  </si>
  <si>
    <t>decorrerà dalla data di stipula e terminerà con il completamento di tutte le attività oggetto dell'incarico</t>
  </si>
  <si>
    <t xml:space="preserve">Contyroversia Maestri/M4 - L'incarico avrà ad oggetto l'attività ad effettuare una perizia tecnica basata su analisi documentale e una serie di rilevamenti vibrazione e di rumore, interpretazione dati e redazione di una relazione finale.  </t>
  </si>
  <si>
    <t>E-LEX STUDIO LEGALE</t>
  </si>
  <si>
    <t>Il presente incarico decorrerà dalla data di sottoscrizione tra le Parti e terminerà con l’emissione
del parere da inviarsi entro il 30 gennaio 2024.in sede di sottoposizione dello stesso al Consiglio di Amministrazione.</t>
  </si>
  <si>
    <t>2.700 al netto dell’IVA, delle spese amministrative e delle imposte</t>
  </si>
  <si>
    <t>ZA13D48019</t>
  </si>
  <si>
    <t xml:space="preserve">Il presente contratto decorre dalla sua sottoscrizione e terminerà entro 120 giorni dalla firma dello stesso </t>
  </si>
  <si>
    <t>Z8A3D44FBD</t>
  </si>
  <si>
    <r>
      <rPr>
        <b/>
        <sz val="11"/>
        <color theme="1"/>
        <rFont val="Calibri"/>
        <family val="2"/>
      </rPr>
      <t>ATTO AGGIUNTIVO 2</t>
    </r>
    <r>
      <rPr>
        <sz val="11"/>
        <color theme="1"/>
        <rFont val="Calibri"/>
        <family val="2"/>
        <scheme val="minor"/>
      </rPr>
      <t xml:space="preserve"> al contratto di Affidamento in concessione del servizio di coordinamento della Sicurezza in fase di Progettazione e di coordinamento della sicurezza in fase di esecuzione nonché di referente di cantieri ai sensi dell'art. 7 del protocollo di Legalità nell'ambito del progetto definitivo esecutivo e della realizzazione dei lavori di costruzione della M4</t>
    </r>
  </si>
  <si>
    <t>146.895,41 Euro (di cui € 15.378,04 per le attività di CSP ed € 131.517,37 per le attività di CSE)</t>
  </si>
  <si>
    <t>Corrispettivo complessivo pari a euro 1.550.000,21
Addendum n.1 = 180.000€ (30.000 euro per tre impianti per mese)
19/12/2023 Proroga del contratto del 3 agosto 2023</t>
  </si>
  <si>
    <t>01/08/2022 al 30/06/2023
Addendum. N.1 01/07/2023-31/12/2023
proroga dell'addendum N.1 01/01/2023-30/04/2024</t>
  </si>
  <si>
    <t>29/07/2022
Addendum n.1 sottoscritto il 03/08/2023
Proroga dell'addendum n.1 sottoscritta il 19/12/2023</t>
  </si>
  <si>
    <r>
      <t xml:space="preserve">Pluxee Italia Srl </t>
    </r>
    <r>
      <rPr>
        <b/>
        <sz val="11"/>
        <color rgb="FF0070C0"/>
        <rFont val="Calibri"/>
        <family val="2"/>
      </rPr>
      <t>ex Sodexo Benefits &amp; Rewards Services Italia S.r.l.</t>
    </r>
  </si>
  <si>
    <t xml:space="preserve">CGIL CAMERA DEL LAVORO METROPOLITANA DI MILANO </t>
  </si>
  <si>
    <t>protocollo sicurezza cantieri M4 - distacco lavoratori dai sindacati 
Distacco Marco Sorio rappresentante sindacali art. 30</t>
  </si>
  <si>
    <t>protocollo sicurezza cantieri M4 - distacco lavoratori dai sindacati 
Distacco Stefano Ruberto  rappresentante sindacali art. 30</t>
  </si>
  <si>
    <r>
      <t xml:space="preserve">30/11/2020
</t>
    </r>
    <r>
      <rPr>
        <b/>
        <sz val="11"/>
        <color theme="1"/>
        <rFont val="Calibri"/>
        <family val="2"/>
      </rPr>
      <t>27.11.2023 proroga</t>
    </r>
  </si>
  <si>
    <r>
      <t xml:space="preserve">distacco decorre dal 1/12/2020 al 30/11/2023
</t>
    </r>
    <r>
      <rPr>
        <b/>
        <sz val="11"/>
        <color theme="1"/>
        <rFont val="Calibri"/>
        <family val="2"/>
      </rPr>
      <t>il distatcco viene prorogato dalle parti fino al 31/03/2025 alle medesime condizioni</t>
    </r>
    <r>
      <rPr>
        <sz val="11"/>
        <color theme="1"/>
        <rFont val="Calibri"/>
        <family val="2"/>
        <scheme val="minor"/>
      </rPr>
      <t xml:space="preserve">
la convenzione con la camera del lavoro avrà durata sino al 30/11/2023 con possibilità di proroga da definirsi entro 30 gg dalla scadenza</t>
    </r>
  </si>
  <si>
    <r>
      <t xml:space="preserve">30/11/2020
</t>
    </r>
    <r>
      <rPr>
        <b/>
        <sz val="11"/>
        <color theme="1"/>
        <rFont val="Calibri"/>
        <family val="2"/>
      </rPr>
      <t>28.11.2023 proroga</t>
    </r>
  </si>
  <si>
    <r>
      <t xml:space="preserve">distacco decorre dal 1/12/2020 al 30/11/2023
</t>
    </r>
    <r>
      <rPr>
        <b/>
        <sz val="11"/>
        <color theme="1"/>
        <rFont val="Calibri"/>
        <family val="2"/>
      </rPr>
      <t xml:space="preserve">il distatcco viene prorogato dalle parti fino al 31/03/2025 alle medesime condizioni
</t>
    </r>
    <r>
      <rPr>
        <sz val="11"/>
        <color theme="1"/>
        <rFont val="Calibri"/>
        <family val="2"/>
        <scheme val="minor"/>
      </rPr>
      <t xml:space="preserve">
la convenzione con la UR UIL Lombardia e Milano  avrà durata sino al 30/11/2023 con possibilità di proroga da definirsi entro 30 gg dalla scadenza</t>
    </r>
  </si>
  <si>
    <r>
      <t xml:space="preserve">06/12/2022
</t>
    </r>
    <r>
      <rPr>
        <b/>
        <sz val="11"/>
        <color theme="1"/>
        <rFont val="Calibri"/>
        <family val="2"/>
      </rPr>
      <t>28.11.2023 proroga</t>
    </r>
  </si>
  <si>
    <r>
      <t xml:space="preserve">distacco decorre dal 12/12/2022 al 27/11/2023
</t>
    </r>
    <r>
      <rPr>
        <b/>
        <sz val="11"/>
        <color theme="1"/>
        <rFont val="Calibri"/>
        <family val="2"/>
      </rPr>
      <t>il distatcco viene prorogato dalle parti fino al 31/03/2025 alle medesime condizioni</t>
    </r>
    <r>
      <rPr>
        <sz val="11"/>
        <color theme="1"/>
        <rFont val="Calibri"/>
        <family val="2"/>
        <scheme val="minor"/>
      </rPr>
      <t xml:space="preserve">
la convenzione avrà durata sino al 27/11/2023 con possibilità di proroga da definirsi entro 30 gg dalla scadenza</t>
    </r>
  </si>
  <si>
    <t>9.750 Euro escluso iva</t>
  </si>
  <si>
    <t>Z8E3D8479A</t>
  </si>
  <si>
    <t>Prestazioni tecniche e professionali relative alla fornitira, manutenzione e implementazione della piattaforma di e-procurement TuttoGare</t>
  </si>
  <si>
    <t>Il presente incarico decorre dalla data di scadenza del precedente contratto tra le parti e ha una durata 13 mesi con scadenza 31.12.2024</t>
  </si>
  <si>
    <t>Il presente contratto avrà la durata di un anno a partire dal 1 gennaio 2024 e fino al 31 dicembre 2024</t>
  </si>
  <si>
    <t>15.890,00 IVA ed oneri di cassa di competenza esclusi</t>
  </si>
  <si>
    <t>B0080A49FC</t>
  </si>
  <si>
    <t>attività di consulenza per la redazione di un parere legale in materia di Protocollo di Legalità avente ad oggetto l’interpretazione dell’art. 6 del Protocollo di Legalità M4, come riformulato dall’Addendum del 21 luglio 2021, con particolare riguardo al terzo “accertamento” della violazione degli obblighi informativi ed, eventualmente, a quelli successivi, applicato al caso di specie riguardante l’operatore economico Alphe Ponteggi S.r.l</t>
  </si>
  <si>
    <t>Il presente incarico decorre dalla data inizio dello svolgimento della prestazione quale comunicata alla Società dal Consulente ed ha durata pari al periodo necessario allo svolgimento dello stesso che si concluderà mediante la resa del parere di cui all’oggetto</t>
  </si>
  <si>
    <t>euro 5.000,00 al netto di IVA al 22%, spese generali al 15%, CPA al 4%, ritenuta d’acconto al 20% se applicata e spese vive da documentare</t>
  </si>
  <si>
    <t>B03FE980A4</t>
  </si>
  <si>
    <t>RockSoil S.p.A.</t>
  </si>
  <si>
    <t xml:space="preserve"> 01795210168</t>
  </si>
  <si>
    <t>Il presente incarico avrà ad oggetto lo studio sulla compatibilità geotecnica e fattibilità per la costruzione di un nuovo complesso edilizio basata su verifiche e analisi progettuali e successiva redazione di una relazione tecnica contenente un parere finale ed eventuali raccomandazioni tecniche da adottare durante lo svolgimento dei lavori.</t>
  </si>
  <si>
    <t>6.500 al netto dell’IVA, delle spese amministrative e delle imposte</t>
  </si>
  <si>
    <t>Il presente incarico decorrerà dalla data di stipula dell’affidamento e terminerà con il completamento di
tutte le attività descritte nell'oggetto</t>
  </si>
  <si>
    <t>B00E47AD1C</t>
  </si>
  <si>
    <t>euro 1.500 al netto di IVA al 22%, spese generali al 15%, CPA al 4%, ritenuta d’acconto al 20% se applicata e spese vive da documentare</t>
  </si>
  <si>
    <t>B00E5F885A</t>
  </si>
  <si>
    <t>Il presente contratto decorre dalla sua sottoscrizione e avrà termine in data 31 dicembre 2024</t>
  </si>
  <si>
    <t>B04DF588D7</t>
  </si>
  <si>
    <t>Lombardia Parcheggi S.R.L.</t>
  </si>
  <si>
    <t>03111700153</t>
  </si>
  <si>
    <t>Le prestazioni oggetto del presente affidamento riguardano la messa a disposizione
di n. 25 porti per autoveicoli dalla data del 27 dicembre 2023 al 26 dicembre 2024</t>
  </si>
  <si>
    <t>Il servizio di Rimessaggio decorrerà dalla data del 27 dicembre 2023 fino al 26 dicembre 2024</t>
  </si>
  <si>
    <t>BO32262756</t>
  </si>
  <si>
    <t>Il compenso per il servizio di ricovero di 25 auto è pari ad € 251,00 mensili a vettura iva inclusa (€ 205,74 iva esclusa)</t>
  </si>
  <si>
    <r>
      <rPr>
        <b/>
        <sz val="15"/>
        <color theme="1"/>
        <rFont val="Calibri"/>
        <family val="2"/>
        <scheme val="minor"/>
      </rPr>
      <t>(*)</t>
    </r>
    <r>
      <rPr>
        <b/>
        <sz val="11"/>
        <color theme="1"/>
        <rFont val="Calibri"/>
        <family val="2"/>
        <scheme val="minor"/>
      </rPr>
      <t xml:space="preserve">
PAGAMENTI
&gt; 5.000€ </t>
    </r>
  </si>
  <si>
    <r>
      <t xml:space="preserve">04/03/2022
</t>
    </r>
    <r>
      <rPr>
        <b/>
        <sz val="11"/>
        <color theme="1"/>
        <rFont val="Calibri"/>
        <family val="2"/>
      </rPr>
      <t>13/03/2024 proroga di due mesi</t>
    </r>
    <r>
      <rPr>
        <sz val="11"/>
        <color theme="1"/>
        <rFont val="Calibri"/>
        <family val="2"/>
        <scheme val="minor"/>
      </rPr>
      <t xml:space="preserve"> </t>
    </r>
  </si>
  <si>
    <t>07/03/2022-07/03/2024 PROROGABILE PER UN PERIODO MASSIMO DI 2 MESI
scadenza 07/05/2024</t>
  </si>
  <si>
    <r>
      <t xml:space="preserve">Servizio di espletamento delle procedure espropriative e occupazione temporanea
</t>
    </r>
    <r>
      <rPr>
        <b/>
        <sz val="11"/>
        <color theme="1"/>
        <rFont val="Calibri"/>
        <family val="2"/>
        <scheme val="minor"/>
      </rPr>
      <t>15.01.2020</t>
    </r>
    <r>
      <rPr>
        <sz val="11"/>
        <color theme="1"/>
        <rFont val="Calibri"/>
        <family val="2"/>
        <scheme val="minor"/>
      </rPr>
      <t xml:space="preserve"> Atto aggiuntivo al contratto di servizi di espletamento delle procedure espropriative e occupazione temporanea
30.08.2016 Prestazioni complementari relative al servizio di espletamento delle procedure espropriative + svolgimento attività topografiche (16.500+10.000 oltre IVA)</t>
    </r>
  </si>
  <si>
    <t>Service SAP - rinnovo 2023</t>
  </si>
  <si>
    <t>Redazione di tipo di frazionamento per l’immobile in Comune di Milano Fg. 396 part. 326 e redazione di Docfa al catasto Fabbricati per creazione subalterno/nuova particella</t>
  </si>
  <si>
    <t>euro 2.000 al netto di IVA al 22%, spese generali al 15%, CPA al 4%, ritenuta d’acconto al 20% se applicata e spese vive da documentare</t>
  </si>
  <si>
    <t xml:space="preserve">B0F78A8181 </t>
  </si>
  <si>
    <t>Attività di redazione tipo di frazionamento per l’immobile sito in comune di Milano Fg. 396 part. 112 espropriato, di proprietà dell’Immobiliare Forlanini</t>
  </si>
  <si>
    <t>attività di assistenza, rappresentanza e difesa nel giudizio promosso da Leonardo S.p.A. a carico di M4 S.p.A. dinanzi alla Corte D’Appello di Milano, volto ad ottenere la riforma della sentenza n.1005/2023 del 12/12/2023 emessa in primo grado dal Tribunale di Milano.</t>
  </si>
  <si>
    <t>Il presente incarico decorre dalla data di approvazione del preventivo di spesa, 18/03/2024, e fino al completamento di tutte le attività elencate nell'oggetto.</t>
  </si>
  <si>
    <t>euro 14.000,00, al netto di IVA al 22%, spese generali al 15%, CPA al 4%, ritenuta d’acconto al 20% se applicata e spese vive da documentare.</t>
  </si>
  <si>
    <t>B13C80DE48</t>
  </si>
  <si>
    <t>Oggetto del presente incarico è lo svolgimento della procedura relativa allo svincolo di n. 18 indennità depositate presso il M.E.F..</t>
  </si>
  <si>
    <t>euro 1.000,00 per ogni singola rettifica che verrà effettivamente predisposta, da riconoscersi sino ad un ammontare complessivo massimo di euro 18.000,00, al netto di IVA e di tutti gli oneri e costi della procedura</t>
  </si>
  <si>
    <t>B14A3F0319</t>
  </si>
  <si>
    <t>Oggetto del presente incarico è lo svolgimento della procedura relativa alle integrazioni delle n. 8 indennità stimate della terna peritale e/o sentenze della Corte di Appello per le quali è previsto il deposito presso il M.E.F. competente.</t>
  </si>
  <si>
    <t>euro 500,00 per ogni singola rettifica che verrà effettivamente predisposta dalla Consulente, da riconoscersi sino ad un ammontare complessivo massimo di euro 4.000,00, al netto di IVA e di tutti gli oneri e costi della procedura quali pubblicazione, trascrizione, registrazione, notifiche, ecc.</t>
  </si>
  <si>
    <t>B0F78D45CF</t>
  </si>
  <si>
    <t>Studio Legale Associato BSVA</t>
  </si>
  <si>
    <t>Oggetto del presente incarico è l’attività di assistenza legale stragiudiziale per la redazione di parere legale relativo alla modalità di svincolo delle somme depositate dalla Società presso il MEF di Milano in favore della Fondazione Istituto dei Ciechi di Milano, Onlus, a titolo di indennità provvisoria di asservimento</t>
  </si>
  <si>
    <t>euro 2.500,00 al netto di IVA al 22%, spese generali al 15%, CPA al 4%, ritenuta d’acconto al 20% se applicata e spese vive da documentare</t>
  </si>
  <si>
    <t>B00E28F7EE</t>
  </si>
  <si>
    <t>Katia Pantaleo</t>
  </si>
  <si>
    <t>13090370969</t>
  </si>
  <si>
    <t>Oggetto del presente incarico è la consulenza specialistica per attività attinenti lo studio e lo sviluppo
di un piano di comunicazione e marketing e, in particolare:
- Studio e Sviluppo di un piano di comunicazione di M4
- Eventi, attivazioni, co-marketing per promuovere M4
- Ricerca di sponsor interessati agli spazi commerciali disponibili non gestiti</t>
  </si>
  <si>
    <t>La durata del presente contratto decorre dalla firma e termina il 31/12/2024</t>
  </si>
  <si>
    <t>B19AD2563E</t>
  </si>
  <si>
    <t>265.142,75 Euro oltre iva e contributi previdenziali 
attività di CSE integrativa al contratto principale</t>
  </si>
  <si>
    <t>Servizio di pulizie degli uffici della propria sede legale e operativa di Piazza Castello 3, 20121 Milano</t>
  </si>
  <si>
    <t>Ghibli Srl</t>
  </si>
  <si>
    <t>Il presente incarico avrà la durata di anni 2 (due) e decorrerà dalla data di firma del presente contratto e fino al 19 maggio 2026. Il presente contratto, inoltre, ad insindacabile giudizio del Committente, potrà essere prorogato, per il periodo strettamente necessario all’individuazione di un nuovo affidatario, per un periodo massimo di 2 (due) mesi, alle stesse condizioni contrattuali.</t>
  </si>
  <si>
    <t>21.890,90 al netto dell’IVA e comprensivo degli oneri della sicurezza. Qualsiasi ulteriore intervento, eventualmente richiesto, sarà fatturato a parte, al costo orario proposto per il servizio di piccole manutenzioni ordinarie indicato di € 17,54, al netto dell’IVA</t>
  </si>
  <si>
    <t>B194CFDC78</t>
  </si>
  <si>
    <r>
      <t xml:space="preserve">dal 01/07/2017 al 30/04/2022
</t>
    </r>
    <r>
      <rPr>
        <b/>
        <sz val="11"/>
        <color theme="1"/>
        <rFont val="Calibri"/>
        <family val="2"/>
      </rPr>
      <t>addendum 1 01/05/2022-28/02/2024</t>
    </r>
    <r>
      <rPr>
        <sz val="11"/>
        <color theme="1"/>
        <rFont val="Calibri"/>
        <family val="2"/>
        <scheme val="minor"/>
      </rPr>
      <t xml:space="preserve">
</t>
    </r>
    <r>
      <rPr>
        <b/>
        <sz val="11"/>
        <color theme="1"/>
        <rFont val="Calibri"/>
        <family val="2"/>
        <scheme val="minor"/>
      </rPr>
      <t>addendum 2 01/11/2023-30/06/2024</t>
    </r>
    <r>
      <rPr>
        <sz val="11"/>
        <color theme="1"/>
        <rFont val="Calibri"/>
        <family val="2"/>
        <scheme val="minor"/>
      </rPr>
      <t xml:space="preserve">
</t>
    </r>
    <r>
      <rPr>
        <b/>
        <sz val="11"/>
        <color theme="1"/>
        <rFont val="Calibri"/>
        <family val="2"/>
        <scheme val="minor"/>
      </rPr>
      <t>addendum 3 01/08/2023-30/06/2025</t>
    </r>
  </si>
  <si>
    <r>
      <t xml:space="preserve">11.365.135,21 oltre 4% CNPAIA e Iva
</t>
    </r>
    <r>
      <rPr>
        <b/>
        <sz val="11"/>
        <color theme="1"/>
        <rFont val="Calibri"/>
        <family val="2"/>
      </rPr>
      <t xml:space="preserve">- addendum: compenso omnicomprensivo di Euro 2.622.000,00 </t>
    </r>
    <r>
      <rPr>
        <b/>
        <sz val="11"/>
        <color theme="1"/>
        <rFont val="Calibri"/>
        <family val="2"/>
        <scheme val="minor"/>
      </rPr>
      <t>e per lo svolgimento delle attività di Direzione Lavori relative all’Accordo Quadro TLC</t>
    </r>
    <r>
      <rPr>
        <sz val="11"/>
        <color theme="1"/>
        <rFont val="Calibri"/>
        <family val="2"/>
        <scheme val="minor"/>
      </rPr>
      <t xml:space="preserve"> del valore massimo stimato di euro 10.000.000,00 (diecimilioni) (IVA esclusa), il corrispettivo è definito a misura pari all’1,5 % dell’importo che sarà ascritto a “SAL Accordo Quadro”, fino alla concorrenza della </t>
    </r>
    <r>
      <rPr>
        <b/>
        <sz val="11"/>
        <color theme="1"/>
        <rFont val="Calibri"/>
        <family val="2"/>
        <scheme val="minor"/>
      </rPr>
      <t>somma massima di euro 120.000,00
- Addendum 2 Euro 559.083,75
- Addendum 3 Euro 2.605.541,25</t>
    </r>
  </si>
  <si>
    <t xml:space="preserve"> euro 16.000,00 oltre IVA (se applicabile) e di ogni altro onere di legge</t>
  </si>
  <si>
    <t>Revisione del reporting package semestrale con chiusura 30 giugno 2024</t>
  </si>
  <si>
    <t xml:space="preserve">6.500 oltre iva </t>
  </si>
  <si>
    <t>Revisione contabile limitata del bilancio semestrale al 30 giugno 2024</t>
  </si>
  <si>
    <t xml:space="preserve">il programma di attuazione della revisione del reporting package sarà strutturato in differenti fasi che verranno svolte sia nel corso della durata dell'incario sia dopo la sua chiusura </t>
  </si>
  <si>
    <t xml:space="preserve">1.000 oltre iva </t>
  </si>
  <si>
    <r>
      <t xml:space="preserve">Il presente incarico dovrà essere reso per una durata di 36 (trentasei) mesi decorrenti dalla stipula del contratto. E’ previsto l'esercizio della facoltà di proroga dell'oggetto contrattuale ai medesimi prezzi, patti e condizioni per un periodo massimo stimato di due mesi per l'individuazione di un nuovo contraente.
</t>
    </r>
    <r>
      <rPr>
        <b/>
        <sz val="11"/>
        <color theme="1"/>
        <rFont val="Calibri"/>
        <family val="2"/>
      </rPr>
      <t>Proroga Tecnica per ulteriori due mesi</t>
    </r>
    <r>
      <rPr>
        <sz val="11"/>
        <color theme="1"/>
        <rFont val="Calibri"/>
        <family val="2"/>
        <scheme val="minor"/>
      </rPr>
      <t xml:space="preserve">
</t>
    </r>
  </si>
  <si>
    <t>07/07/2021
20/06/2024 proroga</t>
  </si>
  <si>
    <t xml:space="preserve">75.000 al netto dell'iva
4.166,67 al netto dell'iva </t>
  </si>
  <si>
    <t>Oggetto del presente incarico è l’analisi dell’attuale Piano Triennale Anticorruzione 2023-
25 (il “Piano”) adottato dalla Società e l’emissione di un parere riguardo all’obbligatorietà ed opportunità per la Società di adottare la ”Procedura sulla rotazione straordinaria degli incarichi ai sensi del D.Lgs. 165/2001” quale adempimento della Misura Generale n. 11 prevista dal Piano e se del caso la possibilità di non includerla nel prossimo Piano Triennale in sede di sottoposizione dello stesso al Consiglio di Amministrazione.</t>
  </si>
  <si>
    <t>REPORT CONTRATTI _ TRIMESTRE 01/07/2024 - 30/09/2024</t>
  </si>
  <si>
    <t>IMPORTO VERSATO (IVA INCLUSA) NEL TRIMESTRE DI RIFERIMENTO        
01/07/24 - 30/09/24</t>
  </si>
  <si>
    <t>IMPORTO PROGRESSIVO VERSATO (IVA INCLUSA) AL 30/09/2024</t>
  </si>
  <si>
    <t>IMPORTO PROGRESSIVO  LIQUIDATO (IVA INCLUSA) AL 30/09/2024</t>
  </si>
  <si>
    <t>IMPORTO CORRISPOSTO (IVA INCLUSA) NEL TRIMESTRE DI RIFERIMENTO        
01.07.2024 - 30.09.2024</t>
  </si>
  <si>
    <t>B22EEC5036</t>
  </si>
  <si>
    <t>Studio Bernardi&amp;Associati, Associazione Professionale di Dottori Commercialisti</t>
  </si>
  <si>
    <t>04354310965</t>
  </si>
  <si>
    <t>Il presente incarico avrà la durata di 36 mesi e decorrerà dal 1 agosto 2024. Il presente contratto, inoltre, ad insindacabile giudizio del Committente, potrà essere prorogato, per il periodo strettamente necessario all’individuazione di un nuovo affidatario, per un periodo massimo di 2 (due) mesi, alle stesse condizioni contrattuali.</t>
  </si>
  <si>
    <t>109.000 al netto dell'iva, comprensivo di tutti gli oneri dovuti.</t>
  </si>
  <si>
    <t>NCARICO PER ESAME DI COMPATIBILITÀ GEOTECNICA RIGUARDO A PROPOSTE DI NUOVA EDIFICAZIONE E/O MODIFICHE AGLI INSEDIAMENTI ESISTENTI PRESSO LE AREE VINCOLATE DALLE OPERE DELLA LINEA M4</t>
  </si>
  <si>
    <t>01795210168</t>
  </si>
  <si>
    <t>B239C263DE</t>
  </si>
  <si>
    <t>Il presente incarico decorrerà dalla data di stipula dell’affidamento e terminerà con il raggiungimento del tetto di spesa e comunque non potrà estendersi oltre i 3 anni.</t>
  </si>
  <si>
    <t>€ 31.000 al netto dell’IVA, delle spese amministrative e delle imposte, sulla base dello scenario di attività e delle corrispondenti prestazioni di volta in volta richieste</t>
  </si>
  <si>
    <t>Arcus Financial Advisors S.r.l.</t>
  </si>
  <si>
    <t>Completamento del Piano Economico Finanziario volto al Riequilibrio finanziario
Gestione ordinaria delle attività relative al Contratto di finanziamento
Consulenza per il rifinanziamento delle Linee di credito in essere a favore della Società</t>
  </si>
  <si>
    <t>Il presente incarico ha durata anni 1 (uno) con decorrenza 1° luglio 2024 al 30 giugno 2025</t>
  </si>
  <si>
    <t>120.000€ oltre IVA
dovranno essere rimborsate, ove sostenute e debitamente documentate ai fini fiscali, le eventuali spese vive, preventivamente autorizzate, ivi incluse spese di viaggio e di alloggio, costi di spedizione e stampe. Tali spese vive non potranno comunque superare un importo massimo pari a Euro 2.000,00 (Euro duemila) entro la scadenza del contratto</t>
  </si>
  <si>
    <t>B22F0F5E52</t>
  </si>
  <si>
    <t>Aggiornamento del parere legale reso dallo studio GPA in data 25 gennaio 2015, oggetto di approfondimento e revisione, relativo all’individuazione della esatta natura giuridica di M4 S.p.A.</t>
  </si>
  <si>
    <t>Il presente incarico decorre dalla data di sottoscrizione tra le Parti fino al completamento di tutte le attività elencate nell'oggetto.</t>
  </si>
  <si>
    <t>9.000€ al netto di IVA al 22%, spese generali al 15%, CPA al 4%, ritenuta d’acconto al 20% se applicata e spese vive da documentare.</t>
  </si>
  <si>
    <t>B26FF25B9E</t>
  </si>
  <si>
    <t>Oggetto del presente incarico è l’attività di assistenza legale, rappresentanza e difesa nel giudizio promosso da ITALSERVIZI 2007 SRL contro Anac davanti al TAR Lazio- Roma, R.G. n. 14412/2003.</t>
  </si>
  <si>
    <t>7.500 € al netto di IVA al 22%, spese generali al 15%, CPA al 4%, ritenuta d’acconto al 20% se applicata e spese vive da documentare.</t>
  </si>
  <si>
    <t>B2735682D8</t>
  </si>
  <si>
    <t>Studio Legale CASCINI</t>
  </si>
  <si>
    <t>10151800157</t>
  </si>
  <si>
    <t>Oggetto del presente incarico è l’attività di assistenza legale, rappresentanza e difesa nel giudizio a carico dell'imputato sig. Matteo Bruni davanti al tribunale di Milano, R.G. n. 26558/2022/21.</t>
  </si>
  <si>
    <t>1.570 € al netto di IVA al 22%, spese generali al 15%, CPA al 4%, ritenuta d’acconto al 20% se applicata e spese vive da documentare.</t>
  </si>
  <si>
    <r>
      <rPr>
        <b/>
        <sz val="11"/>
        <color theme="1"/>
        <rFont val="Calibri"/>
        <family val="2"/>
      </rPr>
      <t>ATTO AGGIUNTIVO 3</t>
    </r>
    <r>
      <rPr>
        <sz val="11"/>
        <color theme="1"/>
        <rFont val="Calibri"/>
        <family val="2"/>
        <scheme val="minor"/>
      </rPr>
      <t xml:space="preserve"> al contratto di Affidamento in concessione del servizio di coordinamento della Sicurezza in fase di Progettazione e di coordinamento della sicurezza in fase di esecuzione nonché di referente di cantieri ai sensi dell'art. 7 del protocollo di Legalità nell'ambito del progetto definitivo esecutivo e della realizzazione dei lavori di costruzione della M4</t>
    </r>
  </si>
  <si>
    <t>350.259,67 Euro (di cui € 40.487,81 per le attività di CSP ed € 279.176,50 per le attività di CSE ed € 30.595,36 per le attività RdC)</t>
  </si>
  <si>
    <r>
      <rPr>
        <b/>
        <sz val="11"/>
        <color theme="1"/>
        <rFont val="Calibri"/>
        <family val="2"/>
      </rPr>
      <t>ATTO AGGIUNTIVO 4</t>
    </r>
    <r>
      <rPr>
        <sz val="11"/>
        <color theme="1"/>
        <rFont val="Calibri"/>
        <family val="2"/>
        <scheme val="minor"/>
      </rPr>
      <t xml:space="preserve"> al contratto di Affidamento in concessione del servizio di coordinamento della Sicurezza in fase di Progettazione e di coordinamento della sicurezza in fase di esecuzione nonché di referente di cantieri ai sensi dell'art. 7 del protocollo di Legalità nell'ambito del progetto definitivo esecutivo e della realizzazione dei lavori di costruzione della M4</t>
    </r>
  </si>
  <si>
    <t>109.470,04 Euro (di cui € 8.582,54 per le attività di CSP ed € 90.231,40 per le attività di CSE ed € 10.656,10 per le attività RdC)</t>
  </si>
  <si>
    <r>
      <rPr>
        <b/>
        <sz val="11"/>
        <color theme="1"/>
        <rFont val="Calibri"/>
        <family val="2"/>
      </rPr>
      <t>ATTO AGGIUNTIVO 5</t>
    </r>
    <r>
      <rPr>
        <sz val="11"/>
        <color theme="1"/>
        <rFont val="Calibri"/>
        <family val="2"/>
        <scheme val="minor"/>
      </rPr>
      <t xml:space="preserve"> al contratto di Affidamento in concessione del servizio di coordinamento della Sicurezza in fase di Progettazione e di coordinamento della sicurezza in fase di esecuzione nonché di referente di cantieri ai sensi dell'art. 7 del protocollo di Legalità nell'ambito del progetto definitivo esecutivo e della realizzazione dei lavori di costruzione della M4</t>
    </r>
  </si>
  <si>
    <t>350.264,74 Euro (di cui € 19.037,35 per le attività di CSP ed € 304.742,47 per le attività di CSE ed € 26.484,92 per le attività RdC)</t>
  </si>
  <si>
    <t xml:space="preserve">B27342AC69 </t>
  </si>
  <si>
    <t>Ft 87 del 10.07.2024</t>
  </si>
  <si>
    <t>*</t>
  </si>
  <si>
    <t>Ft 88 del 10.07.2024</t>
  </si>
  <si>
    <r>
      <rPr>
        <b/>
        <sz val="11"/>
        <color theme="1"/>
        <rFont val="Calibri"/>
        <family val="2"/>
      </rPr>
      <t>ATTO AGGIUNTIVO</t>
    </r>
    <r>
      <rPr>
        <sz val="11"/>
        <color theme="1"/>
        <rFont val="Calibri"/>
        <family val="2"/>
        <scheme val="minor"/>
      </rPr>
      <t xml:space="preserve"> al contratto di Affidamento in concessione del servizio di coordinamento della Sicurezza in fase di Progettazione e di coordinamento della sicurezza in fase di esecuzione nonché di referente di cantieri ai sensi dell'art. 7 del protocollo di Legalità nell'ambito del progetto definitivo esecutivo e della realizzazione dei lavori di costruzione della M4</t>
    </r>
  </si>
  <si>
    <t xml:space="preserve"> Redazione parere circa la natura giuridica di M4
</t>
  </si>
  <si>
    <t>Incarico professsionale per attività integrativa di assistenza legale in relazione al contratto di finanziamento project ed ai contratti di progetto per la progettazione, costruzione e gestione della Linea 4</t>
  </si>
  <si>
    <t>Il compenso per le prestazioni professionali oggetto del presente incarico è determinato nella misura complessiva di euro 45.000,00 (quarantacinquemila/00), oltre IVA e il 4% dovuto per la cassa di previdenza forense obbligatoria. L’importo predetto sarà comprensivo delle spese generali, ad eccezione delle spese di trasferta che saranno di volta in volta condivise ed approvate dalla Società</t>
  </si>
  <si>
    <t>B2804819D9</t>
  </si>
  <si>
    <t>Ft 1218 del 31.07.2024</t>
  </si>
  <si>
    <t>Ft 266 del 26/07/2024</t>
  </si>
  <si>
    <t>Ft 01489 del 23/07/2024</t>
  </si>
  <si>
    <t>Ft 74 del 17/07/2024</t>
  </si>
  <si>
    <t>Ft 144 del 19/06/2024</t>
  </si>
  <si>
    <t>Ft n. 1515 del 31/12/23</t>
  </si>
  <si>
    <t xml:space="preserve">New Ghibli S.r.l. </t>
  </si>
  <si>
    <t>12738700157</t>
  </si>
  <si>
    <t>Conferimento incarico per il servizio di pulizie presso gli uffici di Piazza Castello, 3 Milano. 
M4 affida inoltre l’esecuzione delle piccole manutenzioni edili, elettriche e idrauliche (le prestazioni relative alle piccole manutenzioni saranno retribuite al costo orario evidenziato nell’offerta conomica presentata e dietro presentazione del rapporto di intervento con espressamente indicato l’oggetto della prestazione e le ore impiegate).</t>
  </si>
  <si>
    <t>21.890,90 (ventunomilaottocentonovanta/90 euro), al netto dell’IVA e comprensivo degli oneri della sicurezza.
Qualsiasi ulteriore intervento, eventualmente richiesto, non compreso nel Capitolato descrittivo e prestazionale in allegato, sarà fatturato a parte, al costo orario proposto per il servizio di piccole manutenzioni ordinarie indicato di € 17,54 (diciassette/54 euro), al netto dell’IVA</t>
  </si>
  <si>
    <t>Studio Legale LAWES AVVOCATI ASSOCIATI</t>
  </si>
  <si>
    <t>11432720966</t>
  </si>
  <si>
    <t>B18CB0AFAB</t>
  </si>
  <si>
    <t>Attività di assistenza legale, rappresentanza e difesa, nel giudizio promosso dal Condominio Centro San Babila di Galleria Passarella 1 a Milano, contro la società M4 SPA, davanti al Tribunale di Milano R.G. 7890/2024</t>
  </si>
  <si>
    <t>3.000,00 (tremila/00), al netto di IVA al 22%, spese generali al 15%,
CPA al 4%, ritenuta d’acconto al 20% se applicata e spese vive da documentare</t>
  </si>
  <si>
    <t>Ft 324 del 15/05/2024
Ft 492 del 23/07/2024</t>
  </si>
  <si>
    <t>19/07/2024
01/08/2024</t>
  </si>
  <si>
    <t>Attività di assistenza legale per la valutazione dell’istanza di accesso agli atti presentata a M4 S.p.A. da parte di Schindler S.p.A. in data 27 giugno 2024 e redazione relativo riscontro.</t>
  </si>
  <si>
    <t>€ 1.000 al netto dell’IVA e degli oneri di legge e delle spese generali nella misura del 15% e spese vive da documentare</t>
  </si>
  <si>
    <t>B2990D8BC3</t>
  </si>
  <si>
    <t>Attività di assistenza legale, rappresentanza e difesa, nel giudizio promosso da Hilti S.p.A. contro la società M4 SPA davanti al TAR per la Lombardia.</t>
  </si>
  <si>
    <t>4.000,00 (tremila/00), al netto di IVA al 22%, spese generali al 15%,
CPA al 4%, ritenuta d’acconto al 20% se applicata e spese vive da documentare</t>
  </si>
  <si>
    <t>B2DA1C2911</t>
  </si>
  <si>
    <t>Aassistenza legale, rappresentanza e difesa nel procedimento contro M4 S.p.A., avviato da Speroni Real Estate S.r.l.s. dinanzi alla Corte di cassazione, per richiedere l'annullamento dell'ordinanza n. 819/2024 (RG n. 3609/2021)</t>
  </si>
  <si>
    <t>7.655,00, al netto di IVA al 22%, spese generali al 15%, CPA al 4%, ritenuta d’acconto al 20% se applicata e spese vive da documentare.</t>
  </si>
  <si>
    <t>B2728FB1CD</t>
  </si>
  <si>
    <t>ZC2392D026</t>
  </si>
  <si>
    <t>Ft 59/001 del 02/07/2024</t>
  </si>
  <si>
    <t>18/07/2024
23/09/2024</t>
  </si>
  <si>
    <t>Ft n. 2420100039 del 03/05/24
'Ft n. 2420100038 del 03/05/24
'Ft n. 2420100049 del 05/07/24
'Ft n. 2420100050 del 08/07/24</t>
  </si>
  <si>
    <t>Ft 01797 del 22/07/24
Ft 01562 del 07/08/24
Ft 01931 del 19/08/24</t>
  </si>
  <si>
    <t>01/08/2024
07/08/2024
23/09/2024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</si>
</sst>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43" formatCode="_-* #,##0.00_-;\-* #,##0.00_-;_-* &quot;-&quot;??_-;_-@_-"/>
    <numFmt numFmtId="164" formatCode="&quot;€&quot;\ #,##0_);[Red]\(&quot;€&quot;\ #,##0\)"/>
    <numFmt numFmtId="165" formatCode="#,##0\ [$€-1];[Red]\-#,##0\ [$€-1]"/>
    <numFmt numFmtId="166" formatCode="_-* #,##0_-;\-* #,##0_-;_-* &quot;-&quot;??_-;_-@_-"/>
  </numFmts>
  <fonts count="23">
    <font>
      <sz val="11"/>
      <color theme="1"/>
      <name val="Calibri"/>
      <family val="2"/>
      <scheme val="minor"/>
    </font>
    <font>
      <b/>
      <sz val="11"/>
      <color theme="1"/>
      <name val="Calibri"/>
      <family val="2"/>
      <scheme val="minor"/>
    </font>
    <font>
      <b/>
      <sz val="11"/>
      <color rgb="FF0070C0"/>
      <name val="Calibri"/>
      <family val="2"/>
      <scheme val="minor"/>
    </font>
    <font>
      <sz val="11"/>
      <color theme="1"/>
      <name val="Calibri"/>
      <family val="2"/>
      <scheme val="minor"/>
    </font>
    <font>
      <sz val="11"/>
      <color theme="1"/>
      <name val="Calibri"/>
      <family val="2"/>
    </font>
    <font>
      <b/>
      <u/>
      <sz val="11"/>
      <color theme="1"/>
      <name val="Calibri"/>
      <family val="2"/>
      <scheme val="minor"/>
    </font>
    <font>
      <b/>
      <sz val="11"/>
      <color theme="1"/>
      <name val="Calibri"/>
      <family val="2"/>
    </font>
    <font>
      <i/>
      <sz val="11"/>
      <color theme="1"/>
      <name val="Calibri"/>
      <family val="2"/>
      <scheme val="minor"/>
    </font>
    <font>
      <sz val="15"/>
      <color theme="1"/>
      <name val="Calibri"/>
      <family val="2"/>
      <scheme val="minor"/>
    </font>
    <font>
      <sz val="15"/>
      <color theme="1"/>
      <name val="Calibri"/>
      <family val="2"/>
    </font>
    <font>
      <sz val="11"/>
      <color rgb="FF0070C0"/>
      <name val="Calibri"/>
      <family val="2"/>
      <scheme val="minor"/>
    </font>
    <font>
      <sz val="11"/>
      <name val="Calibri"/>
      <family val="2"/>
      <scheme val="minor"/>
    </font>
    <font>
      <strike/>
      <sz val="11"/>
      <color theme="1"/>
      <name val="Calibri"/>
      <family val="2"/>
    </font>
    <font>
      <sz val="13"/>
      <color theme="1"/>
      <name val="Calibri"/>
      <family val="2"/>
      <scheme val="minor"/>
    </font>
    <font>
      <sz val="9"/>
      <color theme="1"/>
      <name val="Calibri"/>
      <family val="2"/>
      <scheme val="minor"/>
    </font>
    <font>
      <sz val="11"/>
      <color rgb="FF000000"/>
      <name val="CIDFont+F4"/>
    </font>
    <font>
      <u/>
      <sz val="11"/>
      <color theme="1"/>
      <name val="Calibri"/>
      <family val="2"/>
      <scheme val="minor"/>
    </font>
    <font>
      <b/>
      <sz val="7.7"/>
      <color theme="1"/>
      <name val="Calibri"/>
      <family val="2"/>
    </font>
    <font>
      <sz val="9.35"/>
      <color theme="1"/>
      <name val="Calibri"/>
      <family val="2"/>
    </font>
    <font>
      <sz val="11"/>
      <color theme="1"/>
      <name val="Arial Narrow"/>
      <family val="2"/>
    </font>
    <font>
      <b/>
      <sz val="11"/>
      <color rgb="FF0070C0"/>
      <name val="Calibri"/>
      <family val="2"/>
    </font>
    <font>
      <b/>
      <sz val="15"/>
      <color theme="1"/>
      <name val="Calibri"/>
      <family val="2"/>
      <scheme val="minor"/>
    </font>
    <font>
      <sz val="11"/>
      <color rgb="FF000000"/>
      <name val="ArialMT"/>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thin">
        <color indexed="64"/>
      </bottom>
      <diagonal/>
    </border>
    <border>
      <left/>
      <right/>
      <top style="hair">
        <color auto="1"/>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s>
  <cellStyleXfs count="11">
    <xf numFmtId="0" fontId="0"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190">
    <xf numFmtId="0" fontId="0" fillId="0" borderId="0" xfId="0"/>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quotePrefix="1" applyBorder="1" applyAlignment="1">
      <alignment horizontal="left"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0" fillId="3" borderId="1" xfId="0" applyFill="1" applyBorder="1" applyAlignment="1">
      <alignment horizontal="center" vertical="center"/>
    </xf>
    <xf numFmtId="14" fontId="0" fillId="0" borderId="1" xfId="0" applyNumberFormat="1" applyBorder="1" applyAlignment="1">
      <alignment horizontal="center" vertical="center" wrapText="1"/>
    </xf>
    <xf numFmtId="43" fontId="0" fillId="0" borderId="1" xfId="1" quotePrefix="1" applyFont="1" applyBorder="1" applyAlignment="1">
      <alignment horizontal="left" vertical="center" wrapText="1"/>
    </xf>
    <xf numFmtId="0" fontId="2" fillId="0" borderId="1" xfId="0" applyFont="1" applyBorder="1" applyAlignment="1">
      <alignment horizontal="center" vertical="center"/>
    </xf>
    <xf numFmtId="0" fontId="2" fillId="0" borderId="1" xfId="0" quotePrefix="1" applyFont="1" applyBorder="1" applyAlignment="1">
      <alignment horizontal="center" vertical="center" wrapText="1"/>
    </xf>
    <xf numFmtId="0" fontId="5" fillId="0" borderId="0" xfId="0" applyFont="1"/>
    <xf numFmtId="43" fontId="0" fillId="0" borderId="1" xfId="1" applyFont="1" applyBorder="1" applyAlignment="1">
      <alignment horizontal="left" vertical="center" wrapText="1"/>
    </xf>
    <xf numFmtId="43" fontId="0" fillId="0" borderId="1" xfId="1" quotePrefix="1" applyFont="1" applyBorder="1" applyAlignment="1">
      <alignment horizontal="center" vertical="center" wrapText="1"/>
    </xf>
    <xf numFmtId="43" fontId="0" fillId="0" borderId="1" xfId="1" applyFont="1" applyBorder="1" applyAlignment="1">
      <alignment horizontal="left" vertical="center"/>
    </xf>
    <xf numFmtId="43" fontId="0" fillId="0" borderId="0" xfId="1" applyFont="1" applyAlignment="1">
      <alignment horizontal="center" vertical="center"/>
    </xf>
    <xf numFmtId="43" fontId="0" fillId="3" borderId="1" xfId="1" applyFont="1" applyFill="1" applyBorder="1" applyAlignment="1">
      <alignment horizontal="left" vertical="center" wrapText="1"/>
    </xf>
    <xf numFmtId="14" fontId="0" fillId="0" borderId="3" xfId="0" applyNumberFormat="1" applyBorder="1" applyAlignment="1">
      <alignment horizontal="center" vertical="center"/>
    </xf>
    <xf numFmtId="0" fontId="2" fillId="0" borderId="1" xfId="0" quotePrefix="1" applyFont="1" applyBorder="1" applyAlignment="1">
      <alignment horizontal="center" vertical="center"/>
    </xf>
    <xf numFmtId="0" fontId="0" fillId="0" borderId="0" xfId="0" applyAlignment="1">
      <alignment horizontal="right" vertical="center"/>
    </xf>
    <xf numFmtId="0" fontId="0" fillId="4" borderId="1" xfId="0" applyFill="1" applyBorder="1" applyAlignment="1">
      <alignment horizontal="left" vertical="center" wrapText="1"/>
    </xf>
    <xf numFmtId="4" fontId="0" fillId="0" borderId="1" xfId="0" applyNumberFormat="1" applyBorder="1" applyAlignment="1">
      <alignment horizontal="right"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14" fontId="3" fillId="0" borderId="3" xfId="0" applyNumberFormat="1" applyFont="1" applyBorder="1" applyAlignment="1">
      <alignment horizontal="center" vertical="center"/>
    </xf>
    <xf numFmtId="43" fontId="0" fillId="0" borderId="1" xfId="5" quotePrefix="1" applyFont="1" applyBorder="1" applyAlignment="1">
      <alignment horizontal="left"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quotePrefix="1" applyNumberFormat="1" applyBorder="1" applyAlignment="1">
      <alignment horizontal="left" vertical="center" wrapText="1"/>
    </xf>
    <xf numFmtId="165" fontId="4" fillId="0" borderId="1" xfId="0" applyNumberFormat="1" applyFont="1" applyBorder="1" applyAlignment="1">
      <alignment horizontal="left" vertical="center"/>
    </xf>
    <xf numFmtId="0" fontId="0" fillId="0" borderId="1" xfId="1" quotePrefix="1" applyNumberFormat="1" applyFont="1" applyBorder="1" applyAlignment="1">
      <alignment horizontal="left" vertical="center" wrapText="1"/>
    </xf>
    <xf numFmtId="43" fontId="0" fillId="0" borderId="1" xfId="8" quotePrefix="1" applyFont="1" applyBorder="1" applyAlignment="1">
      <alignment horizontal="left" vertical="center" wrapText="1"/>
    </xf>
    <xf numFmtId="0" fontId="2" fillId="2" borderId="4" xfId="0" applyFont="1" applyFill="1" applyBorder="1" applyAlignment="1">
      <alignment horizontal="center" vertical="center" wrapText="1"/>
    </xf>
    <xf numFmtId="0" fontId="0" fillId="0" borderId="1" xfId="0" applyBorder="1" applyAlignment="1">
      <alignment horizontal="left" vertical="center"/>
    </xf>
    <xf numFmtId="165" fontId="0" fillId="0" borderId="1" xfId="0" applyNumberFormat="1" applyBorder="1" applyAlignment="1">
      <alignment horizontal="left" vertical="center"/>
    </xf>
    <xf numFmtId="3" fontId="0" fillId="0" borderId="1" xfId="0" quotePrefix="1" applyNumberFormat="1" applyBorder="1" applyAlignment="1">
      <alignment horizontal="left" vertical="center"/>
    </xf>
    <xf numFmtId="165" fontId="0" fillId="0" borderId="1" xfId="0" applyNumberFormat="1" applyBorder="1" applyAlignment="1">
      <alignment horizontal="left" vertical="center" wrapText="1"/>
    </xf>
    <xf numFmtId="14" fontId="0" fillId="0" borderId="1" xfId="0" applyNumberFormat="1" applyBorder="1" applyAlignment="1">
      <alignment horizontal="left" vertical="center" wrapText="1"/>
    </xf>
    <xf numFmtId="166" fontId="3" fillId="0" borderId="1" xfId="1" quotePrefix="1" applyNumberFormat="1" applyBorder="1" applyAlignment="1">
      <alignment horizontal="left" vertical="center" wrapText="1"/>
    </xf>
    <xf numFmtId="43" fontId="3" fillId="0" borderId="1" xfId="1" quotePrefix="1" applyBorder="1" applyAlignment="1">
      <alignment horizontal="left" vertical="center" wrapText="1"/>
    </xf>
    <xf numFmtId="165" fontId="3" fillId="0" borderId="1" xfId="1" quotePrefix="1" applyNumberFormat="1" applyBorder="1" applyAlignment="1">
      <alignment horizontal="left" vertical="center" wrapText="1"/>
    </xf>
    <xf numFmtId="0" fontId="4" fillId="0" borderId="1" xfId="0" quotePrefix="1" applyFont="1" applyBorder="1" applyAlignment="1">
      <alignment horizontal="left" vertical="center" wrapText="1"/>
    </xf>
    <xf numFmtId="43" fontId="0" fillId="0" borderId="1" xfId="1" quotePrefix="1" applyFont="1" applyBorder="1" applyAlignment="1">
      <alignment horizontal="right" vertical="center" wrapText="1"/>
    </xf>
    <xf numFmtId="43" fontId="0" fillId="0" borderId="1" xfId="1" applyFont="1" applyBorder="1" applyAlignment="1">
      <alignment horizontal="right" vertical="center" wrapText="1"/>
    </xf>
    <xf numFmtId="43" fontId="0" fillId="0" borderId="1" xfId="1" applyFont="1" applyBorder="1" applyAlignment="1">
      <alignment horizontal="right" vertical="center"/>
    </xf>
    <xf numFmtId="43" fontId="0" fillId="3" borderId="1" xfId="1" applyFont="1" applyFill="1" applyBorder="1" applyAlignment="1">
      <alignment horizontal="right" vertical="center" wrapText="1"/>
    </xf>
    <xf numFmtId="43" fontId="1" fillId="0" borderId="1" xfId="1" quotePrefix="1" applyFont="1" applyBorder="1" applyAlignment="1">
      <alignment horizontal="right" vertical="center" wrapText="1"/>
    </xf>
    <xf numFmtId="43" fontId="0" fillId="0" borderId="1" xfId="1" quotePrefix="1" applyFont="1" applyBorder="1" applyAlignment="1">
      <alignment horizontal="right" vertical="center"/>
    </xf>
    <xf numFmtId="43" fontId="0" fillId="0" borderId="1" xfId="7" quotePrefix="1" applyFont="1" applyBorder="1" applyAlignment="1">
      <alignment horizontal="right" vertical="center" wrapText="1"/>
    </xf>
    <xf numFmtId="43" fontId="3" fillId="0" borderId="1" xfId="1" applyBorder="1" applyAlignment="1">
      <alignment horizontal="center" vertical="center"/>
    </xf>
    <xf numFmtId="0" fontId="3" fillId="4" borderId="1" xfId="0"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165" fontId="4" fillId="0" borderId="1" xfId="0" quotePrefix="1" applyNumberFormat="1" applyFont="1" applyBorder="1" applyAlignment="1">
      <alignment horizontal="left" vertical="center" wrapText="1"/>
    </xf>
    <xf numFmtId="14" fontId="0" fillId="4" borderId="1" xfId="0" applyNumberFormat="1" applyFill="1" applyBorder="1" applyAlignment="1">
      <alignment horizontal="center" vertical="center" wrapText="1"/>
    </xf>
    <xf numFmtId="43" fontId="0" fillId="0" borderId="1" xfId="1" applyFont="1" applyBorder="1" applyAlignment="1">
      <alignment horizontal="center" vertical="center" wrapText="1"/>
    </xf>
    <xf numFmtId="166" fontId="0" fillId="0" borderId="1" xfId="1" quotePrefix="1" applyNumberFormat="1" applyFont="1" applyBorder="1" applyAlignment="1">
      <alignment vertical="center" wrapText="1"/>
    </xf>
    <xf numFmtId="166" fontId="0" fillId="0" borderId="1" xfId="1" quotePrefix="1" applyNumberFormat="1" applyFont="1" applyBorder="1" applyAlignment="1">
      <alignment horizontal="left" vertical="center" wrapText="1"/>
    </xf>
    <xf numFmtId="165" fontId="0" fillId="0" borderId="1" xfId="1" quotePrefix="1" applyNumberFormat="1" applyFont="1" applyBorder="1" applyAlignment="1">
      <alignment horizontal="left" vertical="center" wrapText="1"/>
    </xf>
    <xf numFmtId="0" fontId="4" fillId="0" borderId="1" xfId="0" applyFont="1" applyBorder="1" applyAlignment="1">
      <alignment horizontal="left" vertical="center" wrapText="1"/>
    </xf>
    <xf numFmtId="165" fontId="8" fillId="0" borderId="1" xfId="0" applyNumberFormat="1" applyFont="1" applyBorder="1" applyAlignment="1">
      <alignment horizontal="center" vertical="center"/>
    </xf>
    <xf numFmtId="0" fontId="8" fillId="0" borderId="0" xfId="0" applyFont="1" applyAlignment="1">
      <alignment horizontal="center" vertical="center"/>
    </xf>
    <xf numFmtId="0" fontId="8" fillId="0" borderId="1" xfId="0" quotePrefix="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quotePrefix="1" applyFont="1" applyBorder="1" applyAlignment="1">
      <alignment horizontal="center" vertical="center" wrapText="1"/>
    </xf>
    <xf numFmtId="0" fontId="8" fillId="0" borderId="1" xfId="0" applyFont="1" applyBorder="1" applyAlignment="1">
      <alignment horizontal="center" vertical="center"/>
    </xf>
    <xf numFmtId="3" fontId="8" fillId="0" borderId="1" xfId="0" quotePrefix="1" applyNumberFormat="1" applyFont="1" applyBorder="1" applyAlignment="1">
      <alignment horizontal="center" vertical="center"/>
    </xf>
    <xf numFmtId="165" fontId="8" fillId="0" borderId="1" xfId="0" applyNumberFormat="1" applyFont="1" applyBorder="1" applyAlignment="1">
      <alignment horizontal="center" vertical="center" wrapText="1"/>
    </xf>
    <xf numFmtId="14" fontId="8" fillId="0" borderId="1" xfId="0" quotePrefix="1"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66" fontId="8" fillId="0" borderId="1" xfId="1" quotePrefix="1" applyNumberFormat="1" applyFont="1" applyBorder="1" applyAlignment="1">
      <alignment horizontal="center" vertical="center" wrapText="1"/>
    </xf>
    <xf numFmtId="43" fontId="8" fillId="0" borderId="1" xfId="1" quotePrefix="1" applyFont="1" applyBorder="1" applyAlignment="1">
      <alignment horizontal="center" vertical="center" wrapText="1"/>
    </xf>
    <xf numFmtId="165" fontId="8" fillId="0" borderId="1" xfId="1" quotePrefix="1" applyNumberFormat="1" applyFont="1" applyBorder="1" applyAlignment="1">
      <alignment horizontal="center" vertical="center" wrapText="1"/>
    </xf>
    <xf numFmtId="4" fontId="0" fillId="0" borderId="1" xfId="0" applyNumberFormat="1" applyBorder="1" applyAlignment="1">
      <alignment horizontal="left" vertical="center"/>
    </xf>
    <xf numFmtId="4" fontId="0" fillId="0" borderId="1" xfId="0" applyNumberFormat="1" applyBorder="1" applyAlignment="1">
      <alignment horizontal="left" vertical="center" wrapText="1"/>
    </xf>
    <xf numFmtId="0" fontId="4" fillId="0" borderId="3" xfId="0" applyFont="1" applyBorder="1" applyAlignment="1">
      <alignment horizontal="left" vertical="center"/>
    </xf>
    <xf numFmtId="0" fontId="0" fillId="0" borderId="3" xfId="0" quotePrefix="1" applyBorder="1" applyAlignment="1">
      <alignment horizontal="left" vertical="center" wrapText="1"/>
    </xf>
    <xf numFmtId="165" fontId="4" fillId="0" borderId="3" xfId="0" applyNumberFormat="1" applyFont="1" applyBorder="1" applyAlignment="1">
      <alignment horizontal="left" vertical="center" wrapText="1"/>
    </xf>
    <xf numFmtId="43" fontId="0" fillId="0" borderId="3" xfId="1" quotePrefix="1" applyFont="1" applyBorder="1" applyAlignment="1">
      <alignment horizontal="left" vertical="center" wrapText="1"/>
    </xf>
    <xf numFmtId="14" fontId="3" fillId="0" borderId="2" xfId="0" applyNumberFormat="1" applyFont="1" applyBorder="1" applyAlignment="1">
      <alignment horizontal="center" vertical="center"/>
    </xf>
    <xf numFmtId="4" fontId="0" fillId="0" borderId="3" xfId="0" applyNumberFormat="1" applyBorder="1" applyAlignment="1">
      <alignment horizontal="left" vertical="center"/>
    </xf>
    <xf numFmtId="0" fontId="9" fillId="0" borderId="1" xfId="0" applyFont="1" applyBorder="1" applyAlignment="1">
      <alignment horizontal="center" vertical="center"/>
    </xf>
    <xf numFmtId="165" fontId="0" fillId="0" borderId="3" xfId="0" applyNumberFormat="1" applyBorder="1" applyAlignment="1">
      <alignment horizontal="left" vertical="center" wrapText="1"/>
    </xf>
    <xf numFmtId="0" fontId="2" fillId="0" borderId="2" xfId="0" quotePrefix="1" applyFont="1" applyBorder="1" applyAlignment="1">
      <alignment horizontal="center" vertical="center"/>
    </xf>
    <xf numFmtId="14" fontId="3" fillId="0" borderId="1" xfId="1" quotePrefix="1" applyNumberFormat="1" applyBorder="1" applyAlignment="1">
      <alignment horizontal="left" vertical="center" wrapText="1"/>
    </xf>
    <xf numFmtId="14" fontId="0" fillId="0" borderId="1" xfId="0" applyNumberFormat="1" applyBorder="1" applyAlignment="1">
      <alignment horizontal="left" vertical="center"/>
    </xf>
    <xf numFmtId="0" fontId="0" fillId="0" borderId="1" xfId="0" quotePrefix="1" applyBorder="1" applyAlignment="1">
      <alignment horizontal="center" vertical="center"/>
    </xf>
    <xf numFmtId="0" fontId="10" fillId="0" borderId="1" xfId="0" applyFont="1" applyBorder="1" applyAlignment="1">
      <alignment horizontal="center" vertical="center"/>
    </xf>
    <xf numFmtId="0" fontId="10" fillId="0" borderId="1" xfId="0" quotePrefix="1" applyFont="1" applyBorder="1" applyAlignment="1">
      <alignment horizontal="center" vertical="center"/>
    </xf>
    <xf numFmtId="4" fontId="3" fillId="0" borderId="1" xfId="0" quotePrefix="1" applyNumberFormat="1" applyFont="1" applyBorder="1" applyAlignment="1">
      <alignment horizontal="left" vertical="center"/>
    </xf>
    <xf numFmtId="0" fontId="4" fillId="0" borderId="1" xfId="0" applyFont="1" applyBorder="1" applyAlignment="1">
      <alignment horizontal="left" vertical="center"/>
    </xf>
    <xf numFmtId="3" fontId="4" fillId="0" borderId="1" xfId="0" applyNumberFormat="1" applyFont="1" applyBorder="1" applyAlignment="1">
      <alignment horizontal="left" vertical="center" wrapText="1"/>
    </xf>
    <xf numFmtId="14" fontId="4"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3" fillId="0" borderId="1" xfId="0" quotePrefix="1" applyFont="1" applyBorder="1" applyAlignment="1">
      <alignment horizontal="left" vertical="center" wrapText="1"/>
    </xf>
    <xf numFmtId="0" fontId="3" fillId="0" borderId="1" xfId="0" applyFont="1" applyBorder="1" applyAlignment="1">
      <alignment horizontal="center" vertical="center"/>
    </xf>
    <xf numFmtId="3" fontId="3" fillId="0" borderId="1" xfId="0" applyNumberFormat="1" applyFont="1" applyBorder="1" applyAlignment="1">
      <alignment horizontal="left" vertical="center" wrapText="1"/>
    </xf>
    <xf numFmtId="165" fontId="0" fillId="0" borderId="1" xfId="0" quotePrefix="1" applyNumberFormat="1" applyBorder="1" applyAlignment="1">
      <alignment horizontal="left" vertical="center" wrapText="1"/>
    </xf>
    <xf numFmtId="14" fontId="0" fillId="0" borderId="1" xfId="8" quotePrefix="1" applyNumberFormat="1" applyFont="1" applyBorder="1" applyAlignment="1">
      <alignment horizontal="left" vertical="center" wrapText="1"/>
    </xf>
    <xf numFmtId="14" fontId="4" fillId="0" borderId="1" xfId="0" quotePrefix="1" applyNumberFormat="1" applyFont="1" applyBorder="1" applyAlignment="1">
      <alignment horizontal="left" vertical="center" wrapText="1"/>
    </xf>
    <xf numFmtId="14" fontId="0" fillId="0" borderId="1" xfId="0" quotePrefix="1" applyNumberFormat="1" applyBorder="1" applyAlignment="1">
      <alignment horizontal="left" vertical="center"/>
    </xf>
    <xf numFmtId="14" fontId="4" fillId="0" borderId="1" xfId="0" applyNumberFormat="1" applyFont="1" applyBorder="1" applyAlignment="1">
      <alignment horizontal="left" vertical="center"/>
    </xf>
    <xf numFmtId="14" fontId="8" fillId="0" borderId="1" xfId="1" quotePrefix="1" applyNumberFormat="1" applyFont="1" applyBorder="1" applyAlignment="1">
      <alignment horizontal="center" vertical="center" wrapText="1"/>
    </xf>
    <xf numFmtId="14" fontId="0" fillId="0" borderId="1" xfId="1" quotePrefix="1" applyNumberFormat="1" applyFont="1" applyBorder="1" applyAlignment="1">
      <alignment horizontal="left" vertical="center" wrapText="1"/>
    </xf>
    <xf numFmtId="14" fontId="3" fillId="0" borderId="1" xfId="0" applyNumberFormat="1" applyFont="1" applyBorder="1" applyAlignment="1">
      <alignment horizontal="left" vertical="center"/>
    </xf>
    <xf numFmtId="14" fontId="0" fillId="0" borderId="1" xfId="5" quotePrefix="1" applyNumberFormat="1" applyFont="1" applyBorder="1" applyAlignment="1">
      <alignment horizontal="left" vertical="center" wrapText="1"/>
    </xf>
    <xf numFmtId="14" fontId="0" fillId="0" borderId="1" xfId="1" quotePrefix="1" applyNumberFormat="1" applyFont="1" applyBorder="1" applyAlignment="1">
      <alignment vertical="center" wrapText="1"/>
    </xf>
    <xf numFmtId="14" fontId="3" fillId="0" borderId="1" xfId="1" quotePrefix="1" applyNumberFormat="1" applyBorder="1" applyAlignment="1">
      <alignment horizontal="center" vertical="center" wrapText="1"/>
    </xf>
    <xf numFmtId="165" fontId="4" fillId="0" borderId="1" xfId="0" applyNumberFormat="1" applyFont="1" applyBorder="1" applyAlignment="1">
      <alignment horizontal="left" vertical="center" wrapText="1"/>
    </xf>
    <xf numFmtId="43" fontId="0" fillId="0" borderId="1" xfId="1" quotePrefix="1" applyFont="1" applyBorder="1" applyAlignment="1">
      <alignment horizontal="left" vertical="center"/>
    </xf>
    <xf numFmtId="14" fontId="11" fillId="0" borderId="1" xfId="0" applyNumberFormat="1" applyFont="1" applyBorder="1" applyAlignment="1">
      <alignment horizontal="center" vertical="center" wrapText="1"/>
    </xf>
    <xf numFmtId="0" fontId="3" fillId="0" borderId="0" xfId="0" applyFont="1"/>
    <xf numFmtId="164" fontId="0" fillId="0" borderId="1" xfId="0" applyNumberFormat="1" applyBorder="1" applyAlignment="1">
      <alignment horizontal="left" vertical="center" wrapText="1"/>
    </xf>
    <xf numFmtId="43" fontId="0" fillId="0" borderId="0" xfId="1" applyFont="1" applyFill="1" applyAlignment="1">
      <alignment horizontal="center" vertical="center"/>
    </xf>
    <xf numFmtId="14" fontId="3" fillId="0" borderId="1" xfId="0" applyNumberFormat="1" applyFont="1" applyBorder="1" applyAlignment="1">
      <alignment horizontal="left" vertical="center" wrapText="1"/>
    </xf>
    <xf numFmtId="165" fontId="1" fillId="0" borderId="1" xfId="0" applyNumberFormat="1" applyFont="1" applyBorder="1" applyAlignment="1">
      <alignment horizontal="center" vertical="center"/>
    </xf>
    <xf numFmtId="0" fontId="2" fillId="0" borderId="5" xfId="0" quotePrefix="1" applyFont="1" applyBorder="1" applyAlignment="1">
      <alignment horizontal="center" vertical="center" wrapText="1"/>
    </xf>
    <xf numFmtId="0" fontId="0" fillId="0" borderId="5" xfId="0" applyBorder="1" applyAlignment="1">
      <alignment horizontal="left" vertical="center" wrapText="1"/>
    </xf>
    <xf numFmtId="14" fontId="0" fillId="0" borderId="6" xfId="0" applyNumberFormat="1" applyBorder="1" applyAlignment="1">
      <alignment horizontal="center" vertical="center" wrapText="1"/>
    </xf>
    <xf numFmtId="14" fontId="0" fillId="0" borderId="5" xfId="0" applyNumberFormat="1" applyBorder="1" applyAlignment="1">
      <alignment horizontal="left" vertical="center" wrapText="1"/>
    </xf>
    <xf numFmtId="165" fontId="0" fillId="0" borderId="6" xfId="0" applyNumberFormat="1" applyBorder="1" applyAlignment="1">
      <alignment horizontal="left" vertical="center" wrapText="1"/>
    </xf>
    <xf numFmtId="14" fontId="3" fillId="0" borderId="1" xfId="0" quotePrefix="1" applyNumberFormat="1" applyFont="1" applyBorder="1" applyAlignment="1">
      <alignment horizontal="center" vertical="center" wrapText="1"/>
    </xf>
    <xf numFmtId="14" fontId="0" fillId="0" borderId="1" xfId="0" applyNumberFormat="1" applyBorder="1" applyAlignment="1">
      <alignment horizontal="center" wrapText="1"/>
    </xf>
    <xf numFmtId="165" fontId="4" fillId="0" borderId="1" xfId="0" applyNumberFormat="1" applyFont="1" applyBorder="1" applyAlignment="1">
      <alignment horizontal="right" vertical="center" wrapText="1"/>
    </xf>
    <xf numFmtId="4" fontId="0" fillId="0" borderId="3" xfId="0" applyNumberFormat="1" applyBorder="1" applyAlignment="1">
      <alignment horizontal="left" vertical="center" wrapText="1"/>
    </xf>
    <xf numFmtId="3" fontId="0" fillId="0" borderId="1" xfId="0" applyNumberFormat="1" applyBorder="1" applyAlignment="1">
      <alignment horizontal="left" vertical="center" wrapText="1"/>
    </xf>
    <xf numFmtId="165" fontId="12" fillId="0" borderId="1" xfId="0" applyNumberFormat="1" applyFont="1" applyBorder="1" applyAlignment="1">
      <alignment horizontal="left" vertical="center" wrapText="1"/>
    </xf>
    <xf numFmtId="14" fontId="0" fillId="0" borderId="3" xfId="0" applyNumberFormat="1" applyBorder="1" applyAlignment="1">
      <alignment horizontal="left" vertical="center" wrapText="1"/>
    </xf>
    <xf numFmtId="14" fontId="0" fillId="0" borderId="7" xfId="0" applyNumberFormat="1" applyBorder="1" applyAlignment="1">
      <alignment horizontal="center" vertical="center"/>
    </xf>
    <xf numFmtId="0" fontId="0" fillId="0" borderId="8" xfId="0" applyBorder="1" applyAlignment="1">
      <alignment horizontal="left" vertical="center" wrapText="1"/>
    </xf>
    <xf numFmtId="43" fontId="8" fillId="0" borderId="1" xfId="1" quotePrefix="1" applyFont="1" applyFill="1" applyBorder="1" applyAlignment="1">
      <alignment horizontal="center" vertical="center" wrapText="1"/>
    </xf>
    <xf numFmtId="14" fontId="0" fillId="0" borderId="1" xfId="0" applyNumberFormat="1" applyBorder="1" applyAlignment="1">
      <alignment horizontal="center" vertical="top" wrapText="1"/>
    </xf>
    <xf numFmtId="0" fontId="15" fillId="0" borderId="1" xfId="0" applyFont="1" applyBorder="1" applyAlignment="1">
      <alignment horizontal="left" vertical="top" wrapText="1"/>
    </xf>
    <xf numFmtId="6" fontId="0" fillId="0" borderId="8" xfId="0" applyNumberFormat="1" applyBorder="1" applyAlignment="1">
      <alignment horizontal="left" vertical="center" wrapText="1"/>
    </xf>
    <xf numFmtId="14" fontId="3" fillId="0" borderId="2" xfId="0" applyNumberFormat="1" applyFont="1" applyBorder="1" applyAlignment="1">
      <alignment horizontal="center" vertical="center" wrapText="1"/>
    </xf>
    <xf numFmtId="14" fontId="0" fillId="0" borderId="9" xfId="0" applyNumberFormat="1" applyBorder="1" applyAlignment="1">
      <alignment horizontal="center" wrapText="1"/>
    </xf>
    <xf numFmtId="0" fontId="0" fillId="0" borderId="2" xfId="0" applyBorder="1" applyAlignment="1">
      <alignment horizontal="left" vertical="center" wrapText="1"/>
    </xf>
    <xf numFmtId="0" fontId="0" fillId="0" borderId="1" xfId="0" applyBorder="1" applyAlignment="1">
      <alignment horizontal="right" vertical="center"/>
    </xf>
    <xf numFmtId="43" fontId="0" fillId="0" borderId="1" xfId="1" applyFont="1" applyBorder="1" applyAlignment="1">
      <alignment horizontal="center" vertical="center"/>
    </xf>
    <xf numFmtId="0" fontId="0" fillId="0" borderId="1" xfId="0" applyBorder="1"/>
    <xf numFmtId="43" fontId="0" fillId="0" borderId="1" xfId="1" applyFont="1" applyBorder="1" applyAlignment="1">
      <alignment vertical="center"/>
    </xf>
    <xf numFmtId="43" fontId="0" fillId="0" borderId="1" xfId="1" quotePrefix="1" applyFont="1" applyFill="1" applyBorder="1" applyAlignment="1">
      <alignment horizontal="right" vertical="center" wrapText="1"/>
    </xf>
    <xf numFmtId="43" fontId="0" fillId="0" borderId="1" xfId="1" quotePrefix="1" applyFont="1" applyFill="1" applyBorder="1" applyAlignment="1">
      <alignment horizontal="left" vertical="center" wrapText="1"/>
    </xf>
    <xf numFmtId="0" fontId="2" fillId="0" borderId="9" xfId="0" applyFont="1" applyBorder="1" applyAlignment="1">
      <alignment horizontal="center" vertical="center"/>
    </xf>
    <xf numFmtId="0" fontId="0" fillId="0" borderId="9" xfId="0" applyBorder="1" applyAlignment="1">
      <alignment horizontal="left" vertical="center" wrapText="1"/>
    </xf>
    <xf numFmtId="14" fontId="0" fillId="0" borderId="9" xfId="0" applyNumberFormat="1" applyBorder="1" applyAlignment="1">
      <alignment horizontal="center" vertical="center"/>
    </xf>
    <xf numFmtId="14" fontId="0" fillId="0" borderId="9" xfId="0" applyNumberFormat="1" applyBorder="1" applyAlignment="1">
      <alignment horizontal="left" vertical="center" wrapText="1"/>
    </xf>
    <xf numFmtId="165" fontId="0" fillId="0" borderId="9" xfId="0" applyNumberFormat="1" applyBorder="1" applyAlignment="1">
      <alignment horizontal="left" vertical="center"/>
    </xf>
    <xf numFmtId="14" fontId="0" fillId="0" borderId="9" xfId="0" applyNumberFormat="1" applyBorder="1" applyAlignment="1">
      <alignment horizontal="left" vertical="center"/>
    </xf>
    <xf numFmtId="43" fontId="0" fillId="0" borderId="9" xfId="1" applyFont="1" applyBorder="1" applyAlignment="1">
      <alignment horizontal="right" vertical="center"/>
    </xf>
    <xf numFmtId="43" fontId="0" fillId="0" borderId="9" xfId="1" quotePrefix="1" applyFont="1" applyBorder="1" applyAlignment="1">
      <alignment horizontal="left" vertical="center" wrapText="1"/>
    </xf>
    <xf numFmtId="0" fontId="0" fillId="0" borderId="9" xfId="0" applyBorder="1" applyAlignment="1">
      <alignment horizontal="center" vertical="center" wrapText="1"/>
    </xf>
    <xf numFmtId="14" fontId="0" fillId="0" borderId="3" xfId="0" applyNumberFormat="1" applyBorder="1" applyAlignment="1">
      <alignment horizontal="center" vertical="center" wrapText="1"/>
    </xf>
    <xf numFmtId="3" fontId="3" fillId="0" borderId="1" xfId="0" quotePrefix="1" applyNumberFormat="1" applyFont="1" applyBorder="1" applyAlignment="1">
      <alignment horizontal="left" vertical="center"/>
    </xf>
    <xf numFmtId="3" fontId="3" fillId="0" borderId="1" xfId="0" quotePrefix="1" applyNumberFormat="1" applyFont="1" applyBorder="1" applyAlignment="1">
      <alignment horizontal="left" vertical="center" wrapText="1"/>
    </xf>
    <xf numFmtId="14" fontId="0" fillId="0" borderId="1" xfId="0" applyNumberFormat="1" applyBorder="1" applyAlignment="1">
      <alignment horizontal="right" vertical="center"/>
    </xf>
    <xf numFmtId="43" fontId="19" fillId="0" borderId="1" xfId="1" applyFont="1" applyFill="1" applyBorder="1" applyAlignment="1">
      <alignment horizontal="right" vertical="center"/>
    </xf>
    <xf numFmtId="0" fontId="1" fillId="2" borderId="1" xfId="0" applyFont="1" applyFill="1" applyBorder="1" applyAlignment="1">
      <alignment horizontal="center" vertical="center" wrapText="1"/>
    </xf>
    <xf numFmtId="0" fontId="3" fillId="0" borderId="1" xfId="0" applyFont="1" applyBorder="1"/>
    <xf numFmtId="0" fontId="2" fillId="0" borderId="9" xfId="0" quotePrefix="1" applyFont="1" applyBorder="1" applyAlignment="1">
      <alignment horizontal="center" vertical="center" wrapText="1"/>
    </xf>
    <xf numFmtId="14" fontId="11" fillId="0" borderId="9" xfId="0" applyNumberFormat="1" applyFont="1" applyBorder="1" applyAlignment="1">
      <alignment horizontal="center" vertical="center" wrapText="1"/>
    </xf>
    <xf numFmtId="0" fontId="4" fillId="0" borderId="9" xfId="0" applyFont="1" applyBorder="1" applyAlignment="1">
      <alignment horizontal="left" vertical="center" wrapText="1"/>
    </xf>
    <xf numFmtId="14" fontId="4" fillId="0" borderId="9" xfId="0" applyNumberFormat="1" applyFont="1" applyBorder="1" applyAlignment="1">
      <alignment horizontal="left" vertical="center" wrapText="1"/>
    </xf>
    <xf numFmtId="43" fontId="8" fillId="0" borderId="9" xfId="1" quotePrefix="1" applyFont="1" applyBorder="1" applyAlignment="1">
      <alignment horizontal="center" vertical="center" wrapText="1"/>
    </xf>
    <xf numFmtId="43" fontId="0" fillId="0" borderId="9" xfId="7" quotePrefix="1" applyFont="1" applyBorder="1" applyAlignment="1">
      <alignment horizontal="right" vertical="center" wrapText="1"/>
    </xf>
    <xf numFmtId="0" fontId="3" fillId="0" borderId="9" xfId="0" applyFont="1" applyBorder="1" applyAlignment="1">
      <alignment horizontal="center" vertical="center" wrapText="1"/>
    </xf>
    <xf numFmtId="0" fontId="0" fillId="0" borderId="9" xfId="0" applyBorder="1" applyAlignment="1">
      <alignment horizontal="center" vertical="center"/>
    </xf>
    <xf numFmtId="0" fontId="0" fillId="0" borderId="1" xfId="0" applyBorder="1" applyAlignment="1">
      <alignment horizontal="right" vertical="center" wrapText="1"/>
    </xf>
    <xf numFmtId="43" fontId="1" fillId="2" borderId="1" xfId="1" applyFont="1" applyFill="1" applyBorder="1" applyAlignment="1">
      <alignment horizontal="center" vertical="center" wrapText="1"/>
    </xf>
    <xf numFmtId="0" fontId="1" fillId="2" borderId="1" xfId="0" applyFont="1" applyFill="1" applyBorder="1" applyAlignment="1">
      <alignment horizontal="right" vertical="center" wrapText="1"/>
    </xf>
    <xf numFmtId="14" fontId="0" fillId="0" borderId="7" xfId="0" applyNumberFormat="1" applyBorder="1" applyAlignment="1">
      <alignment horizontal="center" vertical="center" wrapText="1"/>
    </xf>
    <xf numFmtId="4" fontId="0" fillId="0" borderId="0" xfId="0" applyNumberFormat="1"/>
    <xf numFmtId="14" fontId="0" fillId="0" borderId="1" xfId="0" applyNumberFormat="1" applyBorder="1" applyAlignment="1">
      <alignment horizontal="right" vertical="center" wrapText="1"/>
    </xf>
    <xf numFmtId="4" fontId="0" fillId="0" borderId="1" xfId="0" applyNumberFormat="1" applyBorder="1"/>
    <xf numFmtId="6" fontId="0" fillId="0" borderId="1" xfId="0" applyNumberFormat="1" applyBorder="1" applyAlignment="1">
      <alignment horizontal="left" vertical="center"/>
    </xf>
    <xf numFmtId="0" fontId="5" fillId="0" borderId="0" xfId="0" applyFont="1" applyAlignment="1">
      <alignment horizontal="left" vertical="center"/>
    </xf>
    <xf numFmtId="0" fontId="0" fillId="0" borderId="9" xfId="0" applyBorder="1" applyAlignment="1">
      <alignment horizontal="right" vertical="center"/>
    </xf>
    <xf numFmtId="0" fontId="8" fillId="0" borderId="9" xfId="0" applyFont="1" applyBorder="1" applyAlignment="1">
      <alignment horizontal="center" vertical="center"/>
    </xf>
    <xf numFmtId="43" fontId="0" fillId="0" borderId="9" xfId="1" applyFont="1" applyBorder="1" applyAlignment="1">
      <alignment horizontal="center" vertical="center"/>
    </xf>
    <xf numFmtId="4" fontId="0" fillId="0" borderId="9" xfId="0" applyNumberFormat="1" applyBorder="1"/>
    <xf numFmtId="0" fontId="2" fillId="2" borderId="9" xfId="0" applyFont="1" applyFill="1" applyBorder="1" applyAlignment="1">
      <alignment horizontal="center" vertical="center" wrapText="1"/>
    </xf>
    <xf numFmtId="0" fontId="2" fillId="0" borderId="9" xfId="0" quotePrefix="1" applyFont="1" applyBorder="1" applyAlignment="1">
      <alignment horizontal="center" vertical="center"/>
    </xf>
    <xf numFmtId="14" fontId="3" fillId="0" borderId="9" xfId="0" applyNumberFormat="1" applyFont="1" applyBorder="1" applyAlignment="1">
      <alignment horizontal="left" vertical="center" wrapText="1"/>
    </xf>
    <xf numFmtId="0" fontId="22" fillId="0" borderId="9" xfId="0" applyFont="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wrapText="1"/>
    </xf>
    <xf numFmtId="14" fontId="11" fillId="0" borderId="1" xfId="0" applyNumberFormat="1" applyFont="1" applyBorder="1" applyAlignment="1">
      <alignment horizontal="left" vertical="center" wrapText="1"/>
    </xf>
    <xf numFmtId="4" fontId="0" fillId="0" borderId="1" xfId="0" applyNumberFormat="1" applyBorder="1" applyAlignment="1">
      <alignment vertical="center"/>
    </xf>
  </cellXfs>
  <cellStyles count="11">
    <cellStyle name="Migliaia" xfId="1" builtinId="3"/>
    <cellStyle name="Migliaia 14" xfId="2" xr:uid="{00000000-0005-0000-0000-000001000000}"/>
    <cellStyle name="Migliaia 2" xfId="4" xr:uid="{00000000-0005-0000-0000-000032000000}"/>
    <cellStyle name="Migliaia 3" xfId="5" xr:uid="{00000000-0005-0000-0000-000033000000}"/>
    <cellStyle name="Migliaia 3 6" xfId="3" xr:uid="{00000000-0005-0000-0000-000002000000}"/>
    <cellStyle name="Migliaia 4" xfId="6" xr:uid="{00000000-0005-0000-0000-000034000000}"/>
    <cellStyle name="Migliaia 5" xfId="7" xr:uid="{00000000-0005-0000-0000-000035000000}"/>
    <cellStyle name="Migliaia 5 2" xfId="10" xr:uid="{8781B4AB-F9CE-46D2-92E9-A6EA76AAF98B}"/>
    <cellStyle name="Migliaia 6" xfId="8" xr:uid="{00000000-0005-0000-0000-000036000000}"/>
    <cellStyle name="Migliaia 7" xfId="9" xr:uid="{8C8FB9E0-3C5A-42C6-97B4-0CE6F96280CD}"/>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204107</xdr:colOff>
      <xdr:row>0</xdr:row>
      <xdr:rowOff>95250</xdr:rowOff>
    </xdr:from>
    <xdr:to>
      <xdr:col>1</xdr:col>
      <xdr:colOff>1232807</xdr:colOff>
      <xdr:row>0</xdr:row>
      <xdr:rowOff>738188</xdr:rowOff>
    </xdr:to>
    <xdr:pic>
      <xdr:nvPicPr>
        <xdr:cNvPr id="16173" name="Immagine 16172" descr="M4_Logo">
          <a:extLst>
            <a:ext uri="{FF2B5EF4-FFF2-40B4-BE49-F238E27FC236}">
              <a16:creationId xmlns:a16="http://schemas.microsoft.com/office/drawing/2014/main" id="{FF81B47F-4ED2-4609-9B54-A1F688595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95250"/>
          <a:ext cx="1028700" cy="642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11906</xdr:colOff>
      <xdr:row>0</xdr:row>
      <xdr:rowOff>35718</xdr:rowOff>
    </xdr:from>
    <xdr:to>
      <xdr:col>1</xdr:col>
      <xdr:colOff>1040606</xdr:colOff>
      <xdr:row>0</xdr:row>
      <xdr:rowOff>678656</xdr:rowOff>
    </xdr:to>
    <xdr:pic>
      <xdr:nvPicPr>
        <xdr:cNvPr id="6" name="Immagine 5" descr="M4_Logo">
          <a:extLst>
            <a:ext uri="{FF2B5EF4-FFF2-40B4-BE49-F238E27FC236}">
              <a16:creationId xmlns:a16="http://schemas.microsoft.com/office/drawing/2014/main" id="{DCC42F12-FC20-48F6-A105-F1F69BF8D5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656" y="35718"/>
          <a:ext cx="1028700" cy="642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62"/>
  <sheetViews>
    <sheetView showGridLines="0" tabSelected="1" zoomScale="70" zoomScaleNormal="70" workbookViewId="0">
      <pane xSplit="2" ySplit="2" topLeftCell="D3" activePane="bottomRight" state="frozen"/>
      <selection pane="topRight" activeCell="C1" sqref="C1"/>
      <selection pane="bottomLeft" activeCell="A3" sqref="A3"/>
      <selection pane="bottomRight" activeCell="D1" sqref="D1"/>
    </sheetView>
  </sheetViews>
  <sheetFormatPr defaultColWidth="20.7109375" defaultRowHeight="19.5"/>
  <cols>
    <col min="1" max="1" width="5.42578125" customWidth="1"/>
    <col min="2" max="2" width="23.5703125" customWidth="1"/>
    <col min="3" max="3" width="31.5703125" bestFit="1" customWidth="1"/>
    <col min="4" max="4" width="53.5703125" style="8" customWidth="1"/>
    <col min="5" max="5" width="23.5703125" style="7" bestFit="1" customWidth="1"/>
    <col min="6" max="6" width="46.140625" style="7" customWidth="1"/>
    <col min="7" max="7" width="45.28515625" style="22" customWidth="1"/>
    <col min="8" max="8" width="28.7109375" style="22" customWidth="1"/>
    <col min="9" max="9" width="21.42578125" style="22" bestFit="1" customWidth="1"/>
    <col min="10" max="10" width="16.7109375" style="63" bestFit="1" customWidth="1"/>
    <col min="11" max="11" width="26" style="18" customWidth="1"/>
    <col min="12" max="12" width="23.140625" bestFit="1" customWidth="1"/>
    <col min="13" max="13" width="22.5703125" customWidth="1"/>
  </cols>
  <sheetData>
    <row r="1" spans="2:14" ht="66.75" customHeight="1">
      <c r="C1" s="14"/>
      <c r="D1" s="177" t="s">
        <v>888</v>
      </c>
      <c r="H1" s="115"/>
      <c r="I1" s="115"/>
      <c r="J1" s="115"/>
      <c r="K1" s="115"/>
    </row>
    <row r="2" spans="2:14" ht="75">
      <c r="B2" s="159" t="s">
        <v>0</v>
      </c>
      <c r="C2" s="159" t="s">
        <v>71</v>
      </c>
      <c r="D2" s="159" t="s">
        <v>1</v>
      </c>
      <c r="E2" s="159" t="s">
        <v>2</v>
      </c>
      <c r="F2" s="159" t="s">
        <v>18</v>
      </c>
      <c r="G2" s="159" t="s">
        <v>74</v>
      </c>
      <c r="H2" s="159" t="s">
        <v>596</v>
      </c>
      <c r="I2" s="159" t="s">
        <v>597</v>
      </c>
      <c r="J2" s="159" t="s">
        <v>842</v>
      </c>
      <c r="K2" s="170" t="s">
        <v>892</v>
      </c>
      <c r="L2" s="170" t="s">
        <v>891</v>
      </c>
      <c r="M2" s="159" t="s">
        <v>133</v>
      </c>
      <c r="N2" s="159" t="s">
        <v>756</v>
      </c>
    </row>
    <row r="3" spans="2:14" ht="45">
      <c r="B3" s="6" t="s">
        <v>69</v>
      </c>
      <c r="C3" s="12">
        <v>4157540966</v>
      </c>
      <c r="D3" s="4" t="s">
        <v>5</v>
      </c>
      <c r="E3" s="3">
        <v>42474</v>
      </c>
      <c r="F3" s="2" t="s">
        <v>3</v>
      </c>
      <c r="G3" s="5" t="s">
        <v>106</v>
      </c>
      <c r="H3" s="5"/>
      <c r="I3" s="31"/>
      <c r="J3" s="64"/>
      <c r="K3" s="45"/>
      <c r="L3" s="16">
        <v>34038</v>
      </c>
      <c r="M3" s="1" t="s">
        <v>131</v>
      </c>
      <c r="N3" s="141"/>
    </row>
    <row r="4" spans="2:14" ht="105">
      <c r="B4" s="6" t="s">
        <v>7</v>
      </c>
      <c r="C4" s="12">
        <v>3049560166</v>
      </c>
      <c r="D4" s="5" t="s">
        <v>4</v>
      </c>
      <c r="E4" s="3">
        <v>42045</v>
      </c>
      <c r="F4" s="2" t="s">
        <v>6</v>
      </c>
      <c r="G4" s="4" t="s">
        <v>107</v>
      </c>
      <c r="H4" s="4"/>
      <c r="I4" s="40"/>
      <c r="J4" s="65"/>
      <c r="K4" s="46"/>
      <c r="L4" s="15">
        <f>68588+1409.1+17820+17887+1433+1062</f>
        <v>108199.1</v>
      </c>
      <c r="M4" s="1" t="s">
        <v>131</v>
      </c>
      <c r="N4" s="141"/>
    </row>
    <row r="5" spans="2:14" ht="60">
      <c r="B5" s="6" t="s">
        <v>7</v>
      </c>
      <c r="C5" s="12">
        <v>3049560166</v>
      </c>
      <c r="D5" s="5" t="s">
        <v>43</v>
      </c>
      <c r="E5" s="3">
        <v>42781</v>
      </c>
      <c r="F5" s="2" t="s">
        <v>44</v>
      </c>
      <c r="G5" s="44" t="s">
        <v>183</v>
      </c>
      <c r="H5" s="44"/>
      <c r="I5" s="101"/>
      <c r="J5" s="66"/>
      <c r="K5" s="45"/>
      <c r="L5" s="16">
        <f>7686+7686</f>
        <v>15372</v>
      </c>
      <c r="M5" s="1" t="s">
        <v>131</v>
      </c>
      <c r="N5" s="141"/>
    </row>
    <row r="6" spans="2:14" ht="45">
      <c r="B6" s="6" t="s">
        <v>7</v>
      </c>
      <c r="C6" s="12">
        <v>3049560166</v>
      </c>
      <c r="D6" s="4" t="s">
        <v>41</v>
      </c>
      <c r="E6" s="3">
        <v>42786</v>
      </c>
      <c r="F6" s="1" t="s">
        <v>42</v>
      </c>
      <c r="G6" s="4" t="s">
        <v>108</v>
      </c>
      <c r="H6" s="4"/>
      <c r="I6" s="40"/>
      <c r="J6" s="65"/>
      <c r="K6" s="46"/>
      <c r="L6" s="15"/>
      <c r="M6" s="30" t="s">
        <v>131</v>
      </c>
      <c r="N6" s="141"/>
    </row>
    <row r="7" spans="2:14" ht="150">
      <c r="B7" s="6" t="s">
        <v>502</v>
      </c>
      <c r="C7" s="12">
        <v>4596040966</v>
      </c>
      <c r="D7" s="4" t="s">
        <v>598</v>
      </c>
      <c r="E7" s="10" t="s">
        <v>599</v>
      </c>
      <c r="F7" s="1" t="s">
        <v>600</v>
      </c>
      <c r="G7" s="36" t="s">
        <v>109</v>
      </c>
      <c r="H7" s="99"/>
      <c r="I7" s="94"/>
      <c r="J7" s="73"/>
      <c r="K7" s="51"/>
      <c r="L7" s="17">
        <f>1141143.97+191636.24+284419.19+469975.05+133081.19+167374.66+47929.31+233261.83+24742.49+40458.93+13140.69+10259.17+9899.66+50954.75+2350.27+27573.76+188875.87+16284.87+9610.75+47458.21+8454.58+8697.3+287233.42+117301.5+12198.59+301793.8+15517.63+108836.82</f>
        <v>3970464.5</v>
      </c>
      <c r="M7" s="30" t="s">
        <v>130</v>
      </c>
      <c r="N7" s="141"/>
    </row>
    <row r="8" spans="2:14" ht="90">
      <c r="B8" s="6" t="s">
        <v>502</v>
      </c>
      <c r="C8" s="12">
        <v>4596040966</v>
      </c>
      <c r="D8" s="4" t="s">
        <v>9</v>
      </c>
      <c r="E8" s="3">
        <v>42614</v>
      </c>
      <c r="F8" s="1" t="s">
        <v>8</v>
      </c>
      <c r="G8" s="4" t="s">
        <v>8</v>
      </c>
      <c r="H8" s="4"/>
      <c r="I8" s="40"/>
      <c r="J8" s="65"/>
      <c r="K8" s="48"/>
      <c r="L8" s="19"/>
      <c r="M8" s="30" t="s">
        <v>130</v>
      </c>
      <c r="N8" s="141"/>
    </row>
    <row r="9" spans="2:14" ht="90">
      <c r="B9" s="6" t="s">
        <v>502</v>
      </c>
      <c r="C9" s="12">
        <v>4596040966</v>
      </c>
      <c r="D9" s="4" t="s">
        <v>12</v>
      </c>
      <c r="E9" s="3">
        <v>42605</v>
      </c>
      <c r="F9" s="1" t="s">
        <v>8</v>
      </c>
      <c r="G9" s="4" t="s">
        <v>8</v>
      </c>
      <c r="H9" s="4"/>
      <c r="I9" s="40"/>
      <c r="J9" s="65"/>
      <c r="K9" s="48"/>
      <c r="L9" s="19"/>
      <c r="M9" s="30" t="s">
        <v>130</v>
      </c>
      <c r="N9" s="141"/>
    </row>
    <row r="10" spans="2:14" ht="90">
      <c r="B10" s="6" t="s">
        <v>502</v>
      </c>
      <c r="C10" s="12">
        <v>4596040966</v>
      </c>
      <c r="D10" s="4" t="s">
        <v>10</v>
      </c>
      <c r="E10" s="3">
        <v>42565</v>
      </c>
      <c r="F10" s="1" t="s">
        <v>8</v>
      </c>
      <c r="G10" s="4" t="s">
        <v>8</v>
      </c>
      <c r="H10" s="4"/>
      <c r="I10" s="40"/>
      <c r="J10" s="65"/>
      <c r="K10" s="48"/>
      <c r="L10" s="19"/>
      <c r="M10" s="30" t="s">
        <v>130</v>
      </c>
      <c r="N10" s="141"/>
    </row>
    <row r="11" spans="2:14" ht="90">
      <c r="B11" s="6" t="s">
        <v>502</v>
      </c>
      <c r="C11" s="12">
        <v>4596040966</v>
      </c>
      <c r="D11" s="4" t="s">
        <v>11</v>
      </c>
      <c r="E11" s="3">
        <v>42605</v>
      </c>
      <c r="F11" s="1" t="s">
        <v>8</v>
      </c>
      <c r="G11" s="4" t="s">
        <v>8</v>
      </c>
      <c r="H11" s="4"/>
      <c r="I11" s="40"/>
      <c r="J11" s="65"/>
      <c r="K11" s="48"/>
      <c r="L11" s="19"/>
      <c r="M11" s="30" t="s">
        <v>130</v>
      </c>
      <c r="N11" s="141"/>
    </row>
    <row r="12" spans="2:14" ht="30">
      <c r="B12" s="6" t="s">
        <v>502</v>
      </c>
      <c r="C12" s="12">
        <v>4596040966</v>
      </c>
      <c r="D12" s="4" t="s">
        <v>51</v>
      </c>
      <c r="E12" s="3">
        <v>42774</v>
      </c>
      <c r="F12" s="1" t="s">
        <v>52</v>
      </c>
      <c r="G12" s="5" t="s">
        <v>53</v>
      </c>
      <c r="H12" s="5"/>
      <c r="I12" s="31"/>
      <c r="J12" s="64"/>
      <c r="K12" s="49"/>
      <c r="L12" s="11"/>
      <c r="M12" s="30" t="s">
        <v>130</v>
      </c>
      <c r="N12" s="141"/>
    </row>
    <row r="13" spans="2:14" ht="30">
      <c r="B13" s="6" t="s">
        <v>502</v>
      </c>
      <c r="C13" s="12">
        <v>4596040966</v>
      </c>
      <c r="D13" s="4" t="s">
        <v>54</v>
      </c>
      <c r="E13" s="3">
        <v>42793</v>
      </c>
      <c r="F13" s="1" t="s">
        <v>52</v>
      </c>
      <c r="G13" s="5" t="s">
        <v>55</v>
      </c>
      <c r="H13" s="5"/>
      <c r="I13" s="31"/>
      <c r="J13" s="64"/>
      <c r="K13" s="49"/>
      <c r="L13" s="11"/>
      <c r="M13" s="30" t="s">
        <v>130</v>
      </c>
      <c r="N13" s="141"/>
    </row>
    <row r="14" spans="2:14" ht="135">
      <c r="B14" s="6" t="s">
        <v>13</v>
      </c>
      <c r="C14" s="12">
        <v>2309220602</v>
      </c>
      <c r="D14" s="4" t="s">
        <v>845</v>
      </c>
      <c r="E14" s="10" t="s">
        <v>344</v>
      </c>
      <c r="F14" s="3">
        <v>44316</v>
      </c>
      <c r="G14" s="39" t="s">
        <v>427</v>
      </c>
      <c r="H14" s="2"/>
      <c r="I14" s="3"/>
      <c r="J14" s="62"/>
      <c r="K14" s="47"/>
      <c r="L14" s="11">
        <f>337339.76+19646.88+19921+12012+53130+61218+18018+70290+23870+14113+14872+37466+27412+34166+32461+17424+12749+12775</f>
        <v>818883.64</v>
      </c>
      <c r="M14" s="30" t="s">
        <v>130</v>
      </c>
      <c r="N14" s="141"/>
    </row>
    <row r="15" spans="2:14" ht="75">
      <c r="B15" s="6" t="s">
        <v>93</v>
      </c>
      <c r="C15" s="21" t="s">
        <v>715</v>
      </c>
      <c r="D15" s="4" t="s">
        <v>428</v>
      </c>
      <c r="E15" s="20">
        <v>41942</v>
      </c>
      <c r="F15" s="3">
        <v>44316</v>
      </c>
      <c r="G15" s="84" t="s">
        <v>265</v>
      </c>
      <c r="H15" s="88"/>
      <c r="I15" s="3"/>
      <c r="J15" s="62"/>
      <c r="K15" s="47"/>
      <c r="L15" s="11">
        <f>401029.86+32615+58002.25+13365+564.79+32905+1074.82+48741+32615+36773+45034+19206+34792.8+68047.8+828.07+45823+20909.2+1381.49+25213.8+27346.9+1365.62+27310.4+480.62</f>
        <v>975425.41999999993</v>
      </c>
      <c r="M15" s="30" t="s">
        <v>130</v>
      </c>
      <c r="N15" s="141"/>
    </row>
    <row r="16" spans="2:14" ht="105">
      <c r="B16" s="6" t="s">
        <v>70</v>
      </c>
      <c r="C16" s="12">
        <v>1742310152</v>
      </c>
      <c r="D16" s="4" t="s">
        <v>14</v>
      </c>
      <c r="E16" s="3"/>
      <c r="F16" s="10" t="s">
        <v>151</v>
      </c>
      <c r="G16" s="39" t="s">
        <v>152</v>
      </c>
      <c r="H16" s="37"/>
      <c r="I16" s="87"/>
      <c r="J16" s="62"/>
      <c r="K16" s="47"/>
      <c r="L16" s="11">
        <v>283140</v>
      </c>
      <c r="M16" s="1" t="s">
        <v>131</v>
      </c>
      <c r="N16" s="141"/>
    </row>
    <row r="17" spans="2:14" ht="30">
      <c r="B17" s="6" t="s">
        <v>16</v>
      </c>
      <c r="C17" s="12">
        <v>1699520159</v>
      </c>
      <c r="D17" s="4" t="s">
        <v>15</v>
      </c>
      <c r="E17" s="3">
        <v>42222</v>
      </c>
      <c r="F17" s="9"/>
      <c r="G17" s="38" t="s">
        <v>102</v>
      </c>
      <c r="H17" s="38"/>
      <c r="I17" s="102"/>
      <c r="J17" s="68"/>
      <c r="K17" s="50"/>
      <c r="L17" s="11">
        <v>9760</v>
      </c>
      <c r="M17" s="30" t="s">
        <v>131</v>
      </c>
      <c r="N17" s="141"/>
    </row>
    <row r="18" spans="2:14" ht="45">
      <c r="B18" s="6" t="s">
        <v>19</v>
      </c>
      <c r="C18" s="12">
        <v>8146570018</v>
      </c>
      <c r="D18" s="4" t="s">
        <v>17</v>
      </c>
      <c r="E18" s="3">
        <v>42209</v>
      </c>
      <c r="F18" s="3">
        <v>44926</v>
      </c>
      <c r="G18" s="4" t="s">
        <v>493</v>
      </c>
      <c r="H18" s="4" t="s">
        <v>949</v>
      </c>
      <c r="I18" s="10" t="s">
        <v>950</v>
      </c>
      <c r="J18" s="62" t="s">
        <v>927</v>
      </c>
      <c r="K18" s="46">
        <f>20600+20600</f>
        <v>41200</v>
      </c>
      <c r="L18" s="11">
        <f>211565.08+70000+35000+35000+17500+52500+54000+54000+18000+18500+55500+18500+18500+19000+19000+19000+19000+19000+19000+19500+19500+19500+19500+19500+19500+20000+20000+20000+20000+20000+20000+20600+20600</f>
        <v>1050765.08</v>
      </c>
      <c r="M18" s="30" t="s">
        <v>130</v>
      </c>
      <c r="N18" s="141"/>
    </row>
    <row r="19" spans="2:14" ht="30">
      <c r="B19" s="6" t="s">
        <v>778</v>
      </c>
      <c r="C19" s="21" t="s">
        <v>704</v>
      </c>
      <c r="D19" s="4" t="s">
        <v>20</v>
      </c>
      <c r="E19" s="20">
        <v>42594</v>
      </c>
      <c r="F19" s="3">
        <v>42958</v>
      </c>
      <c r="G19" s="77" t="s">
        <v>105</v>
      </c>
      <c r="H19" s="92"/>
      <c r="I19" s="103"/>
      <c r="J19" s="83"/>
      <c r="K19" s="45"/>
      <c r="L19" s="11">
        <f>80095.87+13938.22+89650.94+25065.6</f>
        <v>208750.63</v>
      </c>
      <c r="M19" s="1" t="s">
        <v>131</v>
      </c>
      <c r="N19" s="141"/>
    </row>
    <row r="20" spans="2:14" ht="60">
      <c r="B20" s="6" t="s">
        <v>99</v>
      </c>
      <c r="C20" s="12">
        <v>3301630962</v>
      </c>
      <c r="D20" s="4" t="s">
        <v>100</v>
      </c>
      <c r="E20" s="3">
        <v>42795</v>
      </c>
      <c r="F20" s="3">
        <v>42855</v>
      </c>
      <c r="G20" s="4" t="s">
        <v>101</v>
      </c>
      <c r="H20" s="4"/>
      <c r="I20" s="40"/>
      <c r="J20" s="65"/>
      <c r="K20" s="46"/>
      <c r="L20" s="11">
        <f>48850.705+15666.08</f>
        <v>64516.785000000003</v>
      </c>
      <c r="M20" s="1" t="s">
        <v>131</v>
      </c>
      <c r="N20" s="141"/>
    </row>
    <row r="21" spans="2:14" ht="30">
      <c r="B21" s="6" t="s">
        <v>56</v>
      </c>
      <c r="C21" s="12">
        <v>3470730288</v>
      </c>
      <c r="D21" s="4" t="s">
        <v>21</v>
      </c>
      <c r="E21" s="3">
        <v>42629</v>
      </c>
      <c r="F21" s="3">
        <v>43723</v>
      </c>
      <c r="G21" s="37" t="s">
        <v>104</v>
      </c>
      <c r="H21" s="37"/>
      <c r="I21" s="87"/>
      <c r="J21" s="62"/>
      <c r="K21" s="47"/>
      <c r="L21" s="11">
        <f>72590+6138.85+555+1192.5+2000+16000+480+1560+500+2000+384+730+1680+2000+250+2000+3840+5160+2000+16000+2000+1185+250+2000+6288.75+2000+250+2000+2000+500+3460.8+2000+399.75+2000</f>
        <v>163394.65</v>
      </c>
      <c r="M21" s="30" t="s">
        <v>131</v>
      </c>
      <c r="N21" s="141"/>
    </row>
    <row r="22" spans="2:14" ht="60">
      <c r="B22" s="6" t="s">
        <v>700</v>
      </c>
      <c r="C22" s="12">
        <v>4794050585</v>
      </c>
      <c r="D22" s="4" t="s">
        <v>22</v>
      </c>
      <c r="E22" s="3">
        <v>42488</v>
      </c>
      <c r="F22" s="3">
        <v>42853</v>
      </c>
      <c r="G22" s="36" t="s">
        <v>103</v>
      </c>
      <c r="H22" s="37"/>
      <c r="I22" s="87"/>
      <c r="J22" s="37"/>
      <c r="K22" s="47"/>
      <c r="L22" s="11">
        <v>59224.55</v>
      </c>
      <c r="M22" s="1" t="s">
        <v>131</v>
      </c>
      <c r="N22" s="141"/>
    </row>
    <row r="23" spans="2:14" ht="90">
      <c r="B23" s="6" t="s">
        <v>28</v>
      </c>
      <c r="C23" s="12">
        <v>9730271005</v>
      </c>
      <c r="D23" s="4" t="s">
        <v>23</v>
      </c>
      <c r="E23" s="3">
        <v>42209</v>
      </c>
      <c r="F23" s="10" t="s">
        <v>24</v>
      </c>
      <c r="G23" s="39" t="s">
        <v>219</v>
      </c>
      <c r="H23" s="110" t="s">
        <v>936</v>
      </c>
      <c r="I23" s="10">
        <v>45491</v>
      </c>
      <c r="J23" s="69" t="s">
        <v>927</v>
      </c>
      <c r="K23" s="46">
        <v>68937.600000000006</v>
      </c>
      <c r="L23" s="11">
        <f>45958.4+57448+48807.82+11489.7+54180+22517.21+72136.3+68937.6+68937.6+68937.6+68937.6+24417.7+80427.2+59843.59+68937.6+31596.4+59527.62+78347.58+68937.6</f>
        <v>1060323.1199999999</v>
      </c>
      <c r="M23" s="30" t="s">
        <v>130</v>
      </c>
      <c r="N23" s="141"/>
    </row>
    <row r="24" spans="2:14">
      <c r="B24" s="6" t="s">
        <v>27</v>
      </c>
      <c r="C24" s="12">
        <v>13366030156</v>
      </c>
      <c r="D24" s="4" t="s">
        <v>35</v>
      </c>
      <c r="E24" s="3">
        <v>43133</v>
      </c>
      <c r="F24" s="3">
        <v>43159</v>
      </c>
      <c r="G24" s="36" t="s">
        <v>25</v>
      </c>
      <c r="H24" s="36"/>
      <c r="I24" s="87"/>
      <c r="J24" s="67"/>
      <c r="K24" s="47"/>
      <c r="L24" s="11">
        <f>17226.39+8423.59+4579.56+4334.8+2795.24+4570.04+3810.4+4670.61+3805.48+3923.32+4111</f>
        <v>62250.430000000008</v>
      </c>
      <c r="M24" s="1" t="s">
        <v>131</v>
      </c>
      <c r="N24" s="141"/>
    </row>
    <row r="25" spans="2:14" ht="30">
      <c r="B25" s="6" t="s">
        <v>27</v>
      </c>
      <c r="C25" s="12">
        <v>13366030156</v>
      </c>
      <c r="D25" s="4" t="s">
        <v>124</v>
      </c>
      <c r="E25" s="3">
        <v>42782</v>
      </c>
      <c r="F25" s="3">
        <v>43084</v>
      </c>
      <c r="G25" s="36" t="s">
        <v>34</v>
      </c>
      <c r="H25" s="36"/>
      <c r="I25" s="87"/>
      <c r="J25" s="67"/>
      <c r="K25" s="47"/>
      <c r="L25" s="11">
        <f>19433.05+11000.39+5348.97+4819.96+3870.18+4494.64+5373.32+1688.71</f>
        <v>56029.219999999994</v>
      </c>
      <c r="M25" s="1" t="s">
        <v>134</v>
      </c>
      <c r="N25" s="141"/>
    </row>
    <row r="26" spans="2:14" ht="30">
      <c r="B26" s="6" t="s">
        <v>26</v>
      </c>
      <c r="C26" s="12">
        <v>830660155</v>
      </c>
      <c r="D26" s="4" t="s">
        <v>36</v>
      </c>
      <c r="E26" s="3">
        <v>43089</v>
      </c>
      <c r="F26" s="3">
        <v>43465</v>
      </c>
      <c r="G26" s="4" t="s">
        <v>29</v>
      </c>
      <c r="H26" s="4"/>
      <c r="I26" s="10"/>
      <c r="J26" s="65"/>
      <c r="K26" s="46"/>
      <c r="L26" s="46">
        <f>5819+5759</f>
        <v>11578</v>
      </c>
      <c r="M26" s="1" t="s">
        <v>131</v>
      </c>
      <c r="N26" s="141"/>
    </row>
    <row r="27" spans="2:14" ht="45">
      <c r="B27" s="6" t="s">
        <v>32</v>
      </c>
      <c r="C27" s="12">
        <v>11274970158</v>
      </c>
      <c r="D27" s="4" t="s">
        <v>30</v>
      </c>
      <c r="E27" s="3">
        <v>43818</v>
      </c>
      <c r="F27" s="10" t="s">
        <v>303</v>
      </c>
      <c r="G27" s="4" t="s">
        <v>31</v>
      </c>
      <c r="H27" s="4"/>
      <c r="I27" s="40"/>
      <c r="J27" s="65"/>
      <c r="K27" s="48"/>
      <c r="L27" s="19"/>
      <c r="M27" s="30" t="s">
        <v>131</v>
      </c>
      <c r="N27" s="141"/>
    </row>
    <row r="28" spans="2:14" ht="30">
      <c r="B28" s="6" t="s">
        <v>259</v>
      </c>
      <c r="C28" s="21" t="s">
        <v>255</v>
      </c>
      <c r="D28" s="4" t="s">
        <v>33</v>
      </c>
      <c r="E28" s="10">
        <v>42663</v>
      </c>
      <c r="F28" s="10" t="s">
        <v>58</v>
      </c>
      <c r="G28" s="31" t="s">
        <v>57</v>
      </c>
      <c r="H28" s="31"/>
      <c r="I28" s="31"/>
      <c r="J28" s="70"/>
      <c r="K28" s="45"/>
      <c r="L28" s="11">
        <f>3748.28+3092.04</f>
        <v>6840.32</v>
      </c>
      <c r="M28" s="30" t="s">
        <v>131</v>
      </c>
      <c r="N28" s="141"/>
    </row>
    <row r="29" spans="2:14" ht="30">
      <c r="B29" s="6" t="s">
        <v>37</v>
      </c>
      <c r="C29" s="21" t="s">
        <v>72</v>
      </c>
      <c r="D29" s="4" t="s">
        <v>38</v>
      </c>
      <c r="E29" s="10">
        <v>42782</v>
      </c>
      <c r="F29" s="10" t="s">
        <v>39</v>
      </c>
      <c r="G29" s="40" t="s">
        <v>40</v>
      </c>
      <c r="H29" s="40"/>
      <c r="I29" s="40"/>
      <c r="J29" s="71"/>
      <c r="K29" s="46"/>
      <c r="L29" s="11"/>
      <c r="M29" s="30" t="s">
        <v>130</v>
      </c>
      <c r="N29" s="141"/>
    </row>
    <row r="30" spans="2:14" ht="30">
      <c r="B30" s="6" t="s">
        <v>46</v>
      </c>
      <c r="C30" s="12">
        <v>97081660157</v>
      </c>
      <c r="D30" s="4" t="s">
        <v>45</v>
      </c>
      <c r="E30" s="10">
        <v>42338</v>
      </c>
      <c r="F30" s="10" t="s">
        <v>209</v>
      </c>
      <c r="G30" s="41" t="s">
        <v>59</v>
      </c>
      <c r="H30" s="41"/>
      <c r="I30" s="86"/>
      <c r="J30" s="72"/>
      <c r="K30" s="45"/>
      <c r="L30" s="11">
        <f>9871.02+1645.17+1348.5+1348.5+1348.5+1348.5+1348.5</f>
        <v>18258.690000000002</v>
      </c>
      <c r="M30" s="30" t="s">
        <v>131</v>
      </c>
      <c r="N30" s="141"/>
    </row>
    <row r="31" spans="2:14" ht="60">
      <c r="B31" s="6" t="s">
        <v>47</v>
      </c>
      <c r="C31" s="21" t="s">
        <v>73</v>
      </c>
      <c r="D31" s="4" t="s">
        <v>48</v>
      </c>
      <c r="E31" s="26" t="s">
        <v>345</v>
      </c>
      <c r="F31" s="26" t="s">
        <v>314</v>
      </c>
      <c r="G31" s="111">
        <f>163981.4+163981.4</f>
        <v>327962.8</v>
      </c>
      <c r="H31" s="42"/>
      <c r="I31" s="86"/>
      <c r="J31" s="73"/>
      <c r="K31" s="45"/>
      <c r="L31" s="11">
        <f>5264.67+10529.34+5264.67+4315.3+4315.3+4315.3+4315.3+4315.3+4315.3+4315.3+4315.3+4315.3+4315.3+4315.3+4315.3+4315.3+4315.3+4315.3+4315.3+4315.3+4315.3+4315.3+4315.3+4315.3+4315.3+4315.3+4315.3+4315.3+4315.3+4315.3+4315.3+4315.3+3560.13+4293.73+4293.73+4293.73+4293.73+4293.73+4293.73+4293.73+4293.73+4293.73+4293.73+4293.73+4293.73+4293.73+4293.73+4293.73+4293.73+4293.73+4293.73+4293.73+4293.73+4293.73+4293.73+4293.73+4293.73+4293.73+4293.73+4293.73+4293.73+4293.73+4293.73+4293.73+4293.73+4293.73+4293.73+4293.73+4293.73+4293.73+4293.73+4293.73+4293.73+4293.73+4293.73+1445.41+215.7</f>
        <v>331760.28000000003</v>
      </c>
      <c r="M31" s="30" t="s">
        <v>131</v>
      </c>
      <c r="N31" s="141"/>
    </row>
    <row r="32" spans="2:14">
      <c r="B32" s="6" t="s">
        <v>50</v>
      </c>
      <c r="C32" s="12">
        <v>7739320963</v>
      </c>
      <c r="D32" s="4" t="s">
        <v>49</v>
      </c>
      <c r="E32" s="10">
        <v>42383</v>
      </c>
      <c r="F32" s="10">
        <v>43113</v>
      </c>
      <c r="G32" s="42" t="s">
        <v>60</v>
      </c>
      <c r="H32" s="42"/>
      <c r="I32" s="86"/>
      <c r="J32" s="73"/>
      <c r="K32" s="45"/>
      <c r="L32" s="11">
        <f>22999.95+3066.66+1533.33+1533.33+1533.33+1533.33+1533.33+1533.33</f>
        <v>35266.590000000011</v>
      </c>
      <c r="M32" s="1" t="s">
        <v>131</v>
      </c>
      <c r="N32" s="141"/>
    </row>
    <row r="33" spans="2:14">
      <c r="B33" s="6" t="s">
        <v>61</v>
      </c>
      <c r="C33" s="21" t="s">
        <v>150</v>
      </c>
      <c r="D33" s="4" t="s">
        <v>63</v>
      </c>
      <c r="E33" s="10">
        <v>42129</v>
      </c>
      <c r="F33" s="10" t="s">
        <v>62</v>
      </c>
      <c r="G33" s="31" t="s">
        <v>64</v>
      </c>
      <c r="H33" s="31"/>
      <c r="I33" s="31"/>
      <c r="J33" s="70"/>
      <c r="K33" s="45"/>
      <c r="L33" s="11">
        <f>166496.65+393838.44+41839.49+49546.07</f>
        <v>651720.64999999991</v>
      </c>
      <c r="M33" s="1" t="s">
        <v>196</v>
      </c>
      <c r="N33" s="141"/>
    </row>
    <row r="34" spans="2:14" ht="30">
      <c r="B34" s="6" t="s">
        <v>65</v>
      </c>
      <c r="C34" s="12">
        <v>10527000151</v>
      </c>
      <c r="D34" s="4" t="s">
        <v>66</v>
      </c>
      <c r="E34" s="10">
        <v>42272</v>
      </c>
      <c r="F34" s="10" t="s">
        <v>68</v>
      </c>
      <c r="G34" s="31" t="s">
        <v>67</v>
      </c>
      <c r="H34" s="31"/>
      <c r="I34" s="31"/>
      <c r="J34" s="70"/>
      <c r="K34" s="45"/>
      <c r="L34" s="11">
        <f>20015.13+6930</f>
        <v>26945.13</v>
      </c>
      <c r="M34" s="1" t="s">
        <v>131</v>
      </c>
      <c r="N34" s="141"/>
    </row>
    <row r="35" spans="2:14" ht="60">
      <c r="B35" s="6" t="s">
        <v>339</v>
      </c>
      <c r="C35" s="21" t="s">
        <v>77</v>
      </c>
      <c r="D35" s="4" t="s">
        <v>80</v>
      </c>
      <c r="E35" s="10">
        <v>42795</v>
      </c>
      <c r="F35" s="10" t="s">
        <v>83</v>
      </c>
      <c r="G35" s="42">
        <f>14000+14000*15%+14000*4%</f>
        <v>16660</v>
      </c>
      <c r="H35" s="42"/>
      <c r="I35" s="86"/>
      <c r="J35" s="73"/>
      <c r="K35" s="45"/>
      <c r="L35" s="11">
        <f>13524+1449</f>
        <v>14973</v>
      </c>
      <c r="M35" s="1" t="s">
        <v>131</v>
      </c>
      <c r="N35" s="141"/>
    </row>
    <row r="36" spans="2:14" ht="90">
      <c r="B36" s="6" t="s">
        <v>75</v>
      </c>
      <c r="C36" s="21" t="s">
        <v>78</v>
      </c>
      <c r="D36" s="4" t="s">
        <v>81</v>
      </c>
      <c r="E36" s="10">
        <v>42825</v>
      </c>
      <c r="F36" s="10" t="s">
        <v>84</v>
      </c>
      <c r="G36" s="80" t="s">
        <v>85</v>
      </c>
      <c r="H36" s="73"/>
      <c r="I36" s="104"/>
      <c r="J36" s="73"/>
      <c r="K36" s="45"/>
      <c r="L36" s="11">
        <f>1777.54+750+600+600+1000+750+449+400+750+355+750+750+250+775+62.5+750+750+120+50+750+100+525+750+700+750+661+750+661</f>
        <v>17336.04</v>
      </c>
      <c r="M36" s="30" t="s">
        <v>130</v>
      </c>
      <c r="N36" s="141"/>
    </row>
    <row r="37" spans="2:14" ht="105">
      <c r="B37" s="6" t="s">
        <v>76</v>
      </c>
      <c r="C37" s="13" t="s">
        <v>79</v>
      </c>
      <c r="D37" s="25" t="s">
        <v>82</v>
      </c>
      <c r="E37" s="26">
        <v>42851</v>
      </c>
      <c r="F37" s="10" t="s">
        <v>601</v>
      </c>
      <c r="G37" s="11" t="s">
        <v>465</v>
      </c>
      <c r="H37" s="30"/>
      <c r="I37" s="109"/>
      <c r="J37" s="62"/>
      <c r="K37" s="45"/>
      <c r="L37" s="11">
        <f>9109.74+10500+10500+10500+10500+10500+10500+10500+10500+10500+10500+10500+10500+10500+10500+12000+12000+12000+12000+4000</f>
        <v>208109.74</v>
      </c>
      <c r="M37" s="1" t="s">
        <v>131</v>
      </c>
      <c r="N37" s="141"/>
    </row>
    <row r="38" spans="2:14" ht="60">
      <c r="B38" s="6" t="s">
        <v>86</v>
      </c>
      <c r="C38" s="21">
        <v>13325521006</v>
      </c>
      <c r="D38" s="4" t="s">
        <v>680</v>
      </c>
      <c r="E38" s="10">
        <v>42866</v>
      </c>
      <c r="F38" s="10" t="s">
        <v>87</v>
      </c>
      <c r="G38" s="80" t="s">
        <v>681</v>
      </c>
      <c r="H38" s="11"/>
      <c r="I38" s="105"/>
      <c r="J38" s="73"/>
      <c r="K38" s="45"/>
      <c r="L38" s="11">
        <f>25740+15444+18049.2</f>
        <v>59233.2</v>
      </c>
      <c r="M38" s="30" t="s">
        <v>682</v>
      </c>
      <c r="N38" s="141"/>
    </row>
    <row r="39" spans="2:14" ht="105">
      <c r="B39" s="6" t="s">
        <v>70</v>
      </c>
      <c r="C39" s="12">
        <v>1742310152</v>
      </c>
      <c r="D39" s="4" t="s">
        <v>14</v>
      </c>
      <c r="E39" s="3">
        <v>42881</v>
      </c>
      <c r="F39" s="10" t="s">
        <v>181</v>
      </c>
      <c r="G39" s="76" t="s">
        <v>182</v>
      </c>
      <c r="H39" s="76"/>
      <c r="I39" s="40"/>
      <c r="J39" s="62"/>
      <c r="K39" s="45"/>
      <c r="L39" s="11">
        <f>915478.24+457739.12+228869.57+114434.78+114434.75</f>
        <v>1830956.46</v>
      </c>
      <c r="M39" s="1" t="s">
        <v>131</v>
      </c>
      <c r="N39" s="141"/>
    </row>
    <row r="40" spans="2:14" ht="45">
      <c r="B40" s="6" t="s">
        <v>88</v>
      </c>
      <c r="C40" s="21">
        <v>10495590159</v>
      </c>
      <c r="D40" s="4" t="s">
        <v>89</v>
      </c>
      <c r="E40" s="10">
        <v>42914</v>
      </c>
      <c r="F40" s="10" t="s">
        <v>90</v>
      </c>
      <c r="G40" s="43">
        <v>240</v>
      </c>
      <c r="H40" s="43"/>
      <c r="I40" s="86"/>
      <c r="J40" s="74"/>
      <c r="K40" s="45"/>
      <c r="L40" s="11">
        <f>120+240+243.36+243.36+243.36</f>
        <v>1090.08</v>
      </c>
      <c r="M40" s="30" t="s">
        <v>130</v>
      </c>
      <c r="N40" s="141"/>
    </row>
    <row r="41" spans="2:14" ht="399.75" customHeight="1">
      <c r="B41" s="6" t="s">
        <v>70</v>
      </c>
      <c r="C41" s="21" t="s">
        <v>91</v>
      </c>
      <c r="D41" s="4" t="s">
        <v>92</v>
      </c>
      <c r="E41" s="20">
        <v>42956</v>
      </c>
      <c r="F41" s="10" t="s">
        <v>876</v>
      </c>
      <c r="G41" s="126" t="s">
        <v>877</v>
      </c>
      <c r="H41" s="99" t="s">
        <v>963</v>
      </c>
      <c r="I41" s="10" t="s">
        <v>962</v>
      </c>
      <c r="J41" s="117" t="s">
        <v>927</v>
      </c>
      <c r="K41" s="45">
        <f>351062.4+65824.2+65824.2+285238.2</f>
        <v>767949</v>
      </c>
      <c r="L41" s="11">
        <f>1077740.69+1849690.6+434572.12+390054.64+373612.75+460172.68+302538.86+44710.78+464541.04+354849.87+461059.65+418275.51+360759.48+372427.29+358557.82+422039.95+365599.71+415336.64+379391.3+499726.94+1644963.28-13384.43+276640+276640+197600+177840+158080+32912.1+54853.5+79040+351062.4+65824.2+65824.2+285238.2</f>
        <v>13458791.770000001</v>
      </c>
      <c r="M41" s="30" t="s">
        <v>130</v>
      </c>
      <c r="N41" s="141"/>
    </row>
    <row r="42" spans="2:14" ht="45">
      <c r="B42" s="6" t="s">
        <v>110</v>
      </c>
      <c r="C42" s="13" t="s">
        <v>459</v>
      </c>
      <c r="D42" s="4" t="s">
        <v>111</v>
      </c>
      <c r="E42" s="10">
        <v>42923</v>
      </c>
      <c r="F42" s="10" t="s">
        <v>97</v>
      </c>
      <c r="G42" s="11" t="s">
        <v>217</v>
      </c>
      <c r="H42" s="11"/>
      <c r="I42" s="105"/>
      <c r="J42" s="73"/>
      <c r="K42" s="45"/>
      <c r="L42" s="11">
        <f>2575+2575+12800+2575+2575+2575+2575+2575+2575+2575+2575+2575+2575</f>
        <v>43700</v>
      </c>
      <c r="M42" s="30" t="s">
        <v>131</v>
      </c>
      <c r="N42" s="141"/>
    </row>
    <row r="43" spans="2:14" ht="30">
      <c r="B43" s="6" t="s">
        <v>94</v>
      </c>
      <c r="C43" s="21" t="s">
        <v>95</v>
      </c>
      <c r="D43" s="4" t="s">
        <v>96</v>
      </c>
      <c r="E43" s="10">
        <v>42900</v>
      </c>
      <c r="F43" s="10" t="s">
        <v>97</v>
      </c>
      <c r="G43" s="75" t="s">
        <v>98</v>
      </c>
      <c r="H43" s="75"/>
      <c r="I43" s="87"/>
      <c r="J43" s="73"/>
      <c r="K43" s="24"/>
      <c r="L43" s="24">
        <f>3125+3125+3141+1041.67+3125+3125+3125+3125+3125+3125+3125+3125</f>
        <v>35432.67</v>
      </c>
      <c r="M43" s="30" t="s">
        <v>131</v>
      </c>
      <c r="N43" s="141"/>
    </row>
    <row r="44" spans="2:14" ht="45">
      <c r="B44" s="6" t="s">
        <v>99</v>
      </c>
      <c r="C44" s="12">
        <v>3301630962</v>
      </c>
      <c r="D44" s="23" t="s">
        <v>100</v>
      </c>
      <c r="E44" s="10">
        <v>43005</v>
      </c>
      <c r="F44" s="10" t="s">
        <v>97</v>
      </c>
      <c r="G44" s="4" t="s">
        <v>112</v>
      </c>
      <c r="H44" s="4"/>
      <c r="I44" s="87"/>
      <c r="J44" s="62"/>
      <c r="K44" s="24"/>
      <c r="L44" s="11">
        <f>9832.14+9544.5+12144.24+12144.22+12144.24+12144.24+12144.24+12144.24+12144.24+15885.04+12144.24</f>
        <v>132415.58000000002</v>
      </c>
      <c r="M44" s="1" t="s">
        <v>131</v>
      </c>
      <c r="N44" s="141"/>
    </row>
    <row r="45" spans="2:14">
      <c r="B45" s="6" t="s">
        <v>113</v>
      </c>
      <c r="C45" s="21" t="s">
        <v>114</v>
      </c>
      <c r="D45" s="4" t="s">
        <v>115</v>
      </c>
      <c r="E45" s="3">
        <v>43020</v>
      </c>
      <c r="F45" s="10" t="s">
        <v>116</v>
      </c>
      <c r="G45" s="4" t="s">
        <v>117</v>
      </c>
      <c r="H45" s="75"/>
      <c r="I45" s="87"/>
      <c r="J45" s="73"/>
      <c r="K45" s="24"/>
      <c r="L45" s="24">
        <f>335.33+495+495+495+495+495+495+495+495+495+495+495+495+495+495+495+495+495+495+495+495+495+495+495+495+495+495+495+495+495+10+495+495+495+495+225.92+495+495+58.03+495+495+10+495+495+58.03+575.41+4</f>
        <v>20581.719999999998</v>
      </c>
      <c r="M45" s="30" t="s">
        <v>131</v>
      </c>
      <c r="N45" s="141"/>
    </row>
    <row r="46" spans="2:14" ht="30">
      <c r="B46" s="6" t="s">
        <v>110</v>
      </c>
      <c r="C46" s="13" t="s">
        <v>459</v>
      </c>
      <c r="D46" s="25" t="s">
        <v>118</v>
      </c>
      <c r="E46" s="29">
        <v>43013</v>
      </c>
      <c r="F46" s="26" t="s">
        <v>97</v>
      </c>
      <c r="G46" s="4" t="s">
        <v>119</v>
      </c>
      <c r="H46" s="91"/>
      <c r="I46" s="106"/>
      <c r="J46" s="62"/>
      <c r="K46" s="24"/>
      <c r="L46" s="57">
        <f>10000+6000+6000+6000+6000</f>
        <v>34000</v>
      </c>
      <c r="M46" s="30" t="s">
        <v>131</v>
      </c>
      <c r="N46" s="141"/>
    </row>
    <row r="47" spans="2:14" ht="42.75" customHeight="1">
      <c r="B47" s="6" t="s">
        <v>120</v>
      </c>
      <c r="C47" s="21" t="s">
        <v>121</v>
      </c>
      <c r="D47" s="4" t="s">
        <v>123</v>
      </c>
      <c r="E47" s="29">
        <v>43033</v>
      </c>
      <c r="F47" s="26" t="s">
        <v>122</v>
      </c>
      <c r="G47" s="127">
        <v>26400</v>
      </c>
      <c r="H47" s="75"/>
      <c r="I47" s="87"/>
      <c r="J47" s="73"/>
      <c r="K47" s="24">
        <f>439.99+439.99</f>
        <v>879.98</v>
      </c>
      <c r="L47" s="24">
        <f>482.58+440+440+440+20+440+440+440+440+440+440+440+440+440+440+440+440+440+440+400+440+440+440+440+440+440+440+440+440+440+440+440+440+440+440+440+440+440+440+440+440+440+440+440+440+440+440+440+440+440+440+440+440+440+440+440+440+440+440+440+440+440+240.68+440+440+99.65+439.99+439.99+439.99+439.99+439.99+439.99+439.99+439.99+439.99+439.99+439.99+439.99+439.99+439.99</f>
        <v>34242.770000000011</v>
      </c>
      <c r="M47" s="30" t="s">
        <v>130</v>
      </c>
      <c r="N47" s="141"/>
    </row>
    <row r="48" spans="2:14" ht="75">
      <c r="B48" s="6" t="s">
        <v>125</v>
      </c>
      <c r="C48" s="21" t="s">
        <v>126</v>
      </c>
      <c r="D48" s="4" t="s">
        <v>127</v>
      </c>
      <c r="E48" s="29">
        <v>43047</v>
      </c>
      <c r="F48" s="10" t="s">
        <v>128</v>
      </c>
      <c r="G48" s="4" t="s">
        <v>129</v>
      </c>
      <c r="H48" s="28"/>
      <c r="I48" s="107"/>
      <c r="J48" s="73"/>
      <c r="K48" s="24"/>
      <c r="L48" s="24">
        <v>5040</v>
      </c>
      <c r="M48" s="1" t="s">
        <v>131</v>
      </c>
      <c r="N48" s="141"/>
    </row>
    <row r="49" spans="2:14" ht="30">
      <c r="B49" s="6" t="s">
        <v>778</v>
      </c>
      <c r="C49" s="21" t="s">
        <v>704</v>
      </c>
      <c r="D49" s="25" t="s">
        <v>20</v>
      </c>
      <c r="E49" s="27">
        <v>43011</v>
      </c>
      <c r="F49" s="29">
        <v>43151</v>
      </c>
      <c r="G49" s="4" t="s">
        <v>132</v>
      </c>
      <c r="H49" s="75"/>
      <c r="I49" s="87"/>
      <c r="J49" s="73"/>
      <c r="K49" s="24"/>
      <c r="L49" s="11">
        <f>20448.29+13632.19</f>
        <v>34080.480000000003</v>
      </c>
      <c r="M49" s="1" t="s">
        <v>131</v>
      </c>
      <c r="N49" s="141"/>
    </row>
    <row r="50" spans="2:14" ht="45">
      <c r="B50" s="6" t="s">
        <v>99</v>
      </c>
      <c r="C50" s="12">
        <v>3301630962</v>
      </c>
      <c r="D50" s="23" t="s">
        <v>140</v>
      </c>
      <c r="E50" s="10">
        <v>43056</v>
      </c>
      <c r="F50" s="10"/>
      <c r="G50" s="4" t="s">
        <v>160</v>
      </c>
      <c r="H50" s="75"/>
      <c r="I50" s="87"/>
      <c r="J50" s="73"/>
      <c r="K50" s="24"/>
      <c r="L50" s="24">
        <f>6720+2520</f>
        <v>9240</v>
      </c>
      <c r="M50" s="1" t="s">
        <v>131</v>
      </c>
      <c r="N50" s="141"/>
    </row>
    <row r="51" spans="2:14" ht="30">
      <c r="B51" s="6" t="s">
        <v>135</v>
      </c>
      <c r="C51" s="85" t="s">
        <v>136</v>
      </c>
      <c r="D51" s="4" t="s">
        <v>137</v>
      </c>
      <c r="E51" s="81">
        <v>43066</v>
      </c>
      <c r="F51" s="116" t="s">
        <v>346</v>
      </c>
      <c r="G51" s="110" t="s">
        <v>320</v>
      </c>
      <c r="H51" s="4"/>
      <c r="I51" s="10"/>
      <c r="J51" s="62"/>
      <c r="K51" s="24"/>
      <c r="L51" s="24">
        <f>9660.2+9660.2+14490.3+14490.3+9660.2+9660.2+9660.2+14490+14490+9611.9</f>
        <v>115873.49999999999</v>
      </c>
      <c r="M51" s="30" t="s">
        <v>131</v>
      </c>
      <c r="N51" s="141"/>
    </row>
    <row r="52" spans="2:14" ht="135">
      <c r="B52" s="6" t="s">
        <v>141</v>
      </c>
      <c r="C52" s="21" t="s">
        <v>142</v>
      </c>
      <c r="D52" s="4" t="s">
        <v>49</v>
      </c>
      <c r="E52" s="10" t="s">
        <v>203</v>
      </c>
      <c r="F52" s="10" t="s">
        <v>204</v>
      </c>
      <c r="G52" s="55" t="s">
        <v>214</v>
      </c>
      <c r="H52" s="55"/>
      <c r="I52" s="101"/>
      <c r="J52" s="73"/>
      <c r="K52" s="24"/>
      <c r="L52" s="24">
        <f>557.6+1533.33+1533.33+1533.33+1533.33+1533.33+1533.33+1000+2750+3300+3300</f>
        <v>20107.580000000002</v>
      </c>
      <c r="M52" s="1" t="s">
        <v>131</v>
      </c>
      <c r="N52" s="141"/>
    </row>
    <row r="53" spans="2:14" ht="60">
      <c r="B53" s="6" t="s">
        <v>143</v>
      </c>
      <c r="C53" s="21" t="s">
        <v>144</v>
      </c>
      <c r="D53" s="4" t="s">
        <v>145</v>
      </c>
      <c r="E53" s="27">
        <v>43118</v>
      </c>
      <c r="F53" s="10" t="s">
        <v>146</v>
      </c>
      <c r="G53" s="79" t="s">
        <v>147</v>
      </c>
      <c r="H53" s="55"/>
      <c r="I53" s="101"/>
      <c r="J53" s="73"/>
      <c r="K53" s="24"/>
      <c r="L53" s="24">
        <f>12579+4200+16005.28+16005.28+16005.28+16005.28+16005.28+16005.28+16005.28</f>
        <v>128815.95999999999</v>
      </c>
      <c r="M53" s="30" t="s">
        <v>131</v>
      </c>
      <c r="N53" s="141"/>
    </row>
    <row r="54" spans="2:14" ht="45">
      <c r="B54" s="6" t="s">
        <v>61</v>
      </c>
      <c r="C54" s="21" t="s">
        <v>150</v>
      </c>
      <c r="D54" s="4" t="s">
        <v>149</v>
      </c>
      <c r="E54" s="10">
        <v>43140</v>
      </c>
      <c r="F54" s="10" t="s">
        <v>62</v>
      </c>
      <c r="G54" s="31" t="s">
        <v>148</v>
      </c>
      <c r="H54" s="31"/>
      <c r="I54" s="31"/>
      <c r="J54" s="73"/>
      <c r="K54" s="45"/>
      <c r="L54" s="11">
        <f>10424.57+8215.37+7979.24+7779.24+7784.94+7783.33+7779.24+7779.24+7779.24+7779.24+7779.24+7779.24+7779.24+7779.24+7779.24</f>
        <v>119979.85000000003</v>
      </c>
      <c r="M54" s="30" t="s">
        <v>131</v>
      </c>
      <c r="N54" s="141"/>
    </row>
    <row r="55" spans="2:14" ht="30">
      <c r="B55" s="6" t="s">
        <v>193</v>
      </c>
      <c r="C55" s="21" t="s">
        <v>153</v>
      </c>
      <c r="D55" s="4" t="s">
        <v>154</v>
      </c>
      <c r="E55" s="10">
        <v>43144</v>
      </c>
      <c r="F55" s="10" t="s">
        <v>155</v>
      </c>
      <c r="G55" s="32">
        <v>27000</v>
      </c>
      <c r="H55" s="32"/>
      <c r="I55" s="103"/>
      <c r="J55" s="73"/>
      <c r="K55" s="45"/>
      <c r="L55" s="11">
        <f>18900+8100</f>
        <v>27000</v>
      </c>
      <c r="M55" s="1" t="s">
        <v>131</v>
      </c>
      <c r="N55" s="141"/>
    </row>
    <row r="56" spans="2:14" ht="60">
      <c r="B56" s="6" t="s">
        <v>156</v>
      </c>
      <c r="C56" s="21">
        <v>7931520964</v>
      </c>
      <c r="D56" s="4" t="s">
        <v>157</v>
      </c>
      <c r="E56" s="10">
        <v>43069</v>
      </c>
      <c r="F56" s="10" t="s">
        <v>158</v>
      </c>
      <c r="G56" s="33" t="s">
        <v>159</v>
      </c>
      <c r="H56" s="33"/>
      <c r="I56" s="105"/>
      <c r="J56" s="73"/>
      <c r="K56" s="45"/>
      <c r="L56" s="11">
        <v>56095.5</v>
      </c>
      <c r="M56" s="1" t="s">
        <v>131</v>
      </c>
      <c r="N56" s="141"/>
    </row>
    <row r="57" spans="2:14" ht="30">
      <c r="B57" s="6" t="s">
        <v>161</v>
      </c>
      <c r="C57" s="21" t="s">
        <v>162</v>
      </c>
      <c r="D57" s="4" t="s">
        <v>163</v>
      </c>
      <c r="E57" s="10">
        <v>43083</v>
      </c>
      <c r="F57" s="10" t="s">
        <v>164</v>
      </c>
      <c r="G57" s="11" t="s">
        <v>165</v>
      </c>
      <c r="H57" s="11"/>
      <c r="I57" s="105"/>
      <c r="J57" s="73"/>
      <c r="K57" s="45"/>
      <c r="L57" s="11">
        <v>3200</v>
      </c>
      <c r="M57" s="1" t="s">
        <v>131</v>
      </c>
      <c r="N57" s="141"/>
    </row>
    <row r="58" spans="2:14" ht="45">
      <c r="B58" s="6" t="s">
        <v>241</v>
      </c>
      <c r="C58" s="21" t="s">
        <v>169</v>
      </c>
      <c r="D58" s="4" t="s">
        <v>166</v>
      </c>
      <c r="E58" s="10">
        <v>43090</v>
      </c>
      <c r="F58" s="10" t="s">
        <v>167</v>
      </c>
      <c r="G58" s="11" t="s">
        <v>168</v>
      </c>
      <c r="H58" s="11"/>
      <c r="I58" s="105"/>
      <c r="J58" s="73"/>
      <c r="K58" s="45"/>
      <c r="L58" s="11">
        <v>9660</v>
      </c>
      <c r="M58" s="1" t="s">
        <v>131</v>
      </c>
      <c r="N58" s="141"/>
    </row>
    <row r="59" spans="2:14" ht="165">
      <c r="B59" s="6" t="s">
        <v>170</v>
      </c>
      <c r="C59" s="21">
        <v>12883390150</v>
      </c>
      <c r="D59" s="4" t="s">
        <v>347</v>
      </c>
      <c r="E59" s="40" t="s">
        <v>348</v>
      </c>
      <c r="F59" s="10" t="s">
        <v>171</v>
      </c>
      <c r="G59" s="11">
        <f>342000+15000+12000</f>
        <v>369000</v>
      </c>
      <c r="H59" s="34"/>
      <c r="I59" s="100"/>
      <c r="J59" s="73"/>
      <c r="K59" s="45"/>
      <c r="L59" s="51">
        <f>15000+29700+45000+12000+59400</f>
        <v>161100</v>
      </c>
      <c r="M59" s="30" t="s">
        <v>130</v>
      </c>
      <c r="N59" s="141"/>
    </row>
    <row r="60" spans="2:14" ht="45">
      <c r="B60" s="6" t="s">
        <v>172</v>
      </c>
      <c r="C60" s="21" t="s">
        <v>173</v>
      </c>
      <c r="D60" s="4" t="s">
        <v>174</v>
      </c>
      <c r="E60" s="10">
        <v>43202</v>
      </c>
      <c r="F60" s="10" t="s">
        <v>175</v>
      </c>
      <c r="G60" s="34" t="s">
        <v>176</v>
      </c>
      <c r="H60" s="34"/>
      <c r="I60" s="100"/>
      <c r="J60" s="73"/>
      <c r="K60" s="45"/>
      <c r="L60" s="11">
        <f>4420+4420</f>
        <v>8840</v>
      </c>
      <c r="M60" s="1" t="s">
        <v>131</v>
      </c>
      <c r="N60" s="141"/>
    </row>
    <row r="61" spans="2:14" ht="30">
      <c r="B61" s="6" t="s">
        <v>778</v>
      </c>
      <c r="C61" s="21" t="s">
        <v>704</v>
      </c>
      <c r="D61" s="25" t="s">
        <v>20</v>
      </c>
      <c r="E61" s="27">
        <v>43223</v>
      </c>
      <c r="F61" s="3" t="s">
        <v>177</v>
      </c>
      <c r="G61" s="61" t="s">
        <v>178</v>
      </c>
      <c r="H61" s="61"/>
      <c r="I61" s="94"/>
      <c r="J61" s="73"/>
      <c r="K61" s="45"/>
      <c r="L61" s="57">
        <f>48679.56+19706.53+6412.8+9519.4</f>
        <v>84318.29</v>
      </c>
      <c r="M61" s="1" t="s">
        <v>131</v>
      </c>
      <c r="N61" s="141"/>
    </row>
    <row r="62" spans="2:14" ht="105">
      <c r="B62" s="6" t="s">
        <v>110</v>
      </c>
      <c r="C62" s="13" t="s">
        <v>459</v>
      </c>
      <c r="D62" s="4" t="s">
        <v>179</v>
      </c>
      <c r="E62" s="26">
        <v>43257</v>
      </c>
      <c r="F62" s="10" t="s">
        <v>180</v>
      </c>
      <c r="G62" s="60" t="s">
        <v>218</v>
      </c>
      <c r="H62" s="60"/>
      <c r="I62" s="105"/>
      <c r="J62" s="73"/>
      <c r="K62" s="45"/>
      <c r="L62" s="57">
        <f>5000+15000+5000+5000+15000</f>
        <v>45000</v>
      </c>
      <c r="M62" s="30" t="s">
        <v>131</v>
      </c>
      <c r="N62" s="141"/>
    </row>
    <row r="63" spans="2:14" ht="30">
      <c r="B63" s="6" t="s">
        <v>193</v>
      </c>
      <c r="C63" s="21" t="s">
        <v>153</v>
      </c>
      <c r="D63" s="4" t="s">
        <v>184</v>
      </c>
      <c r="E63" s="10">
        <v>43257</v>
      </c>
      <c r="F63" s="10" t="s">
        <v>185</v>
      </c>
      <c r="G63" s="32">
        <v>13000</v>
      </c>
      <c r="H63" s="32"/>
      <c r="I63" s="103"/>
      <c r="J63" s="73"/>
      <c r="K63" s="45"/>
      <c r="L63" s="11">
        <f>5200+7800</f>
        <v>13000</v>
      </c>
      <c r="M63" s="1" t="s">
        <v>131</v>
      </c>
      <c r="N63" s="141"/>
    </row>
    <row r="64" spans="2:14" ht="90">
      <c r="B64" s="6" t="s">
        <v>334</v>
      </c>
      <c r="C64" s="21" t="s">
        <v>186</v>
      </c>
      <c r="D64" s="4" t="s">
        <v>187</v>
      </c>
      <c r="E64" s="29">
        <v>43283</v>
      </c>
      <c r="F64" s="10" t="s">
        <v>188</v>
      </c>
      <c r="G64" s="76" t="s">
        <v>189</v>
      </c>
      <c r="H64" s="76" t="s">
        <v>939</v>
      </c>
      <c r="I64" s="10">
        <v>45477</v>
      </c>
      <c r="J64" s="73" t="s">
        <v>927</v>
      </c>
      <c r="K64" s="51">
        <f>21379.04+4388.92+5049.63</f>
        <v>30817.59</v>
      </c>
      <c r="L64" s="51">
        <f>1659126.27+173278.47+100697.36+45334.43+58338.53+117116.6+100330.94+71959.18+81361.18+74566.27+12811.7+12021.13+2467.83+2839.34+2839.34+2384.39+10094.98+2072.41+19677.04+2114.11+8950.7+1837.49+17446.6+9.25+36.16+8.04+76.32+2261.27+9573.74+1965.4+18661.04+16749.72+12021.13+2467.83+2839.34+12021.13+2467.83+2839.34+13903.68+10094.98+2072.41+2384.39+9806.62+1837.49+211.11+8950.7+8695.01+8.04+9.25+39.16+38.04+1965.4+9573.74+9300.26+2261.27+23431.47+12021.13+2467.83+2839.34+10094.98+2384.39+2072.41+1837.49+2114.11+8950.7+8.04+9.25+39.16+1965.4+2261.27+9573.74+8.59+9.89+41.86+3.91+8.59+8.89+41.86+8.59+9.89+41.86+2839.34+12021.13+2467.83+11677.74+1121.75+12021.13+2467.83+2839.34+146.48+30.07+34.6+142.53+29.26+33.66+142.53+29.26+33.66+137.05+28.13+32.37+120577.81+24753.54+28479.88+12021.13+2467.83+2839.34+12021.13+2467.83+2839.34+21379.04+4388.92+5049.63</f>
        <v>3114631.1300000008</v>
      </c>
      <c r="M64" s="30" t="s">
        <v>130</v>
      </c>
      <c r="N64" s="141"/>
    </row>
    <row r="65" spans="2:14" ht="75">
      <c r="B65" s="6" t="s">
        <v>190</v>
      </c>
      <c r="C65" s="21" t="s">
        <v>191</v>
      </c>
      <c r="D65" s="4" t="s">
        <v>192</v>
      </c>
      <c r="E65" s="29">
        <v>43276</v>
      </c>
      <c r="F65" s="10" t="s">
        <v>215</v>
      </c>
      <c r="G65" s="76">
        <f>138149.13+11800</f>
        <v>149949.13</v>
      </c>
      <c r="H65" s="76"/>
      <c r="I65" s="40"/>
      <c r="J65" s="73"/>
      <c r="K65" s="45"/>
      <c r="L65" s="11">
        <f>27491.68+110657.45+11800</f>
        <v>149949.13</v>
      </c>
      <c r="M65" s="1" t="s">
        <v>131</v>
      </c>
      <c r="N65" s="141"/>
    </row>
    <row r="66" spans="2:14" ht="45">
      <c r="B66" s="6" t="s">
        <v>99</v>
      </c>
      <c r="C66" s="12">
        <v>3301630962</v>
      </c>
      <c r="D66" s="53" t="s">
        <v>194</v>
      </c>
      <c r="E66" s="26">
        <v>43312</v>
      </c>
      <c r="F66" s="54"/>
      <c r="G66" s="42" t="s">
        <v>195</v>
      </c>
      <c r="H66" s="42"/>
      <c r="I66" s="86"/>
      <c r="J66" s="73"/>
      <c r="K66" s="45"/>
      <c r="L66" s="11">
        <v>3206.4</v>
      </c>
      <c r="M66" s="1" t="s">
        <v>131</v>
      </c>
      <c r="N66" s="141"/>
    </row>
    <row r="67" spans="2:14" ht="30">
      <c r="B67" s="6" t="s">
        <v>197</v>
      </c>
      <c r="C67" s="21" t="s">
        <v>198</v>
      </c>
      <c r="D67" s="23" t="s">
        <v>199</v>
      </c>
      <c r="E67" s="26">
        <v>43369</v>
      </c>
      <c r="F67" s="56" t="s">
        <v>201</v>
      </c>
      <c r="G67" s="11" t="s">
        <v>200</v>
      </c>
      <c r="H67" s="11"/>
      <c r="I67" s="105"/>
      <c r="J67" s="73"/>
      <c r="K67" s="45"/>
      <c r="L67" s="11">
        <f>8400+8400+7500+7500+7500</f>
        <v>39300</v>
      </c>
      <c r="M67" s="30" t="s">
        <v>131</v>
      </c>
      <c r="N67" s="141"/>
    </row>
    <row r="68" spans="2:14" ht="45">
      <c r="B68" s="6" t="s">
        <v>260</v>
      </c>
      <c r="C68" s="21" t="s">
        <v>211</v>
      </c>
      <c r="D68" s="4" t="s">
        <v>210</v>
      </c>
      <c r="E68" s="10">
        <v>43347</v>
      </c>
      <c r="F68" s="10" t="s">
        <v>213</v>
      </c>
      <c r="G68" s="59" t="s">
        <v>212</v>
      </c>
      <c r="H68" s="59"/>
      <c r="I68" s="105"/>
      <c r="J68" s="45"/>
      <c r="K68" s="45"/>
      <c r="L68" s="11">
        <f>26.38+130.09+535.33+660+660+660+660+130.09+660+660+660+660+130.09+660+660+660+660</f>
        <v>8871.98</v>
      </c>
      <c r="M68" s="30" t="s">
        <v>131</v>
      </c>
      <c r="N68" s="141"/>
    </row>
    <row r="69" spans="2:14" ht="45">
      <c r="B69" s="6" t="s">
        <v>202</v>
      </c>
      <c r="C69" s="21">
        <v>10157530964</v>
      </c>
      <c r="D69" s="4" t="s">
        <v>49</v>
      </c>
      <c r="E69" s="10" t="s">
        <v>289</v>
      </c>
      <c r="F69" s="40" t="s">
        <v>297</v>
      </c>
      <c r="G69" s="55">
        <f>19400+1616+808</f>
        <v>21824</v>
      </c>
      <c r="H69" s="55"/>
      <c r="I69" s="101"/>
      <c r="J69" s="73"/>
      <c r="K69" s="45"/>
      <c r="L69" s="24">
        <f>1617+1617+1617+1617+1617+1617+1617+1617+3234+3234+1617+888</f>
        <v>21909</v>
      </c>
      <c r="M69" s="1" t="s">
        <v>131</v>
      </c>
      <c r="N69" s="141"/>
    </row>
    <row r="70" spans="2:14" ht="30">
      <c r="B70" s="6" t="s">
        <v>205</v>
      </c>
      <c r="C70" s="12">
        <v>1850570746</v>
      </c>
      <c r="D70" s="4" t="s">
        <v>206</v>
      </c>
      <c r="E70" s="26">
        <v>43424</v>
      </c>
      <c r="F70" s="10" t="s">
        <v>207</v>
      </c>
      <c r="G70" s="58" t="s">
        <v>208</v>
      </c>
      <c r="H70" s="58"/>
      <c r="I70" s="108"/>
      <c r="J70" s="73"/>
      <c r="K70" s="45"/>
      <c r="L70" s="24">
        <f>8000+8000+8000</f>
        <v>24000</v>
      </c>
      <c r="M70" s="1" t="s">
        <v>131</v>
      </c>
      <c r="N70" s="141"/>
    </row>
    <row r="71" spans="2:14" ht="30">
      <c r="B71" s="6" t="s">
        <v>26</v>
      </c>
      <c r="C71" s="12">
        <v>830660155</v>
      </c>
      <c r="D71" s="4" t="s">
        <v>36</v>
      </c>
      <c r="E71" s="3">
        <v>43447</v>
      </c>
      <c r="F71" s="3" t="s">
        <v>216</v>
      </c>
      <c r="G71" s="4" t="s">
        <v>29</v>
      </c>
      <c r="H71" s="4"/>
      <c r="I71" s="40"/>
      <c r="J71" s="73"/>
      <c r="K71" s="45"/>
      <c r="L71" s="11">
        <f>5819+5759</f>
        <v>11578</v>
      </c>
      <c r="M71" s="30" t="s">
        <v>131</v>
      </c>
      <c r="N71" s="141"/>
    </row>
    <row r="72" spans="2:14">
      <c r="B72" s="6" t="s">
        <v>220</v>
      </c>
      <c r="C72" s="21" t="s">
        <v>515</v>
      </c>
      <c r="D72" s="4" t="s">
        <v>221</v>
      </c>
      <c r="E72" s="26">
        <v>43474</v>
      </c>
      <c r="F72" s="40" t="s">
        <v>222</v>
      </c>
      <c r="G72" s="58" t="s">
        <v>223</v>
      </c>
      <c r="H72" s="58"/>
      <c r="I72" s="40"/>
      <c r="J72" s="73"/>
      <c r="K72" s="45"/>
      <c r="L72" s="11">
        <v>28000</v>
      </c>
      <c r="M72" s="1" t="s">
        <v>131</v>
      </c>
      <c r="N72" s="141"/>
    </row>
    <row r="73" spans="2:14" ht="75">
      <c r="B73" s="6" t="s">
        <v>224</v>
      </c>
      <c r="C73" s="21" t="s">
        <v>225</v>
      </c>
      <c r="D73" s="4" t="s">
        <v>127</v>
      </c>
      <c r="E73" s="26">
        <v>43432</v>
      </c>
      <c r="F73" s="40" t="s">
        <v>226</v>
      </c>
      <c r="G73" s="32" t="s">
        <v>243</v>
      </c>
      <c r="H73" s="32"/>
      <c r="I73" s="103"/>
      <c r="J73" s="73"/>
      <c r="K73" s="45"/>
      <c r="L73" s="11">
        <v>8344.66</v>
      </c>
      <c r="M73" s="1" t="s">
        <v>131</v>
      </c>
      <c r="N73" s="141"/>
    </row>
    <row r="74" spans="2:14" ht="45">
      <c r="B74" s="6" t="s">
        <v>241</v>
      </c>
      <c r="C74" s="21" t="s">
        <v>227</v>
      </c>
      <c r="D74" s="4" t="s">
        <v>228</v>
      </c>
      <c r="E74" s="26">
        <v>43440</v>
      </c>
      <c r="F74" s="40" t="s">
        <v>229</v>
      </c>
      <c r="G74" s="58" t="s">
        <v>230</v>
      </c>
      <c r="H74" s="58"/>
      <c r="I74" s="108"/>
      <c r="J74" s="73"/>
      <c r="K74" s="45"/>
      <c r="L74" s="11">
        <v>5290.56</v>
      </c>
      <c r="M74" s="1" t="s">
        <v>131</v>
      </c>
      <c r="N74" s="141"/>
    </row>
    <row r="75" spans="2:14" ht="45">
      <c r="B75" s="6" t="s">
        <v>193</v>
      </c>
      <c r="C75" s="21" t="s">
        <v>153</v>
      </c>
      <c r="D75" s="4" t="s">
        <v>231</v>
      </c>
      <c r="E75" s="10">
        <v>43480</v>
      </c>
      <c r="F75" s="10" t="s">
        <v>244</v>
      </c>
      <c r="G75" s="32">
        <v>20000</v>
      </c>
      <c r="H75" s="32"/>
      <c r="I75" s="103"/>
      <c r="J75" s="73"/>
      <c r="K75" s="45"/>
      <c r="L75" s="11">
        <f>10000+10000</f>
        <v>20000</v>
      </c>
      <c r="M75" s="30" t="s">
        <v>131</v>
      </c>
      <c r="N75" s="141"/>
    </row>
    <row r="76" spans="2:14" ht="30">
      <c r="B76" s="6" t="s">
        <v>193</v>
      </c>
      <c r="C76" s="21" t="s">
        <v>153</v>
      </c>
      <c r="D76" s="4" t="s">
        <v>242</v>
      </c>
      <c r="E76" s="10">
        <v>43505</v>
      </c>
      <c r="F76" s="10" t="s">
        <v>245</v>
      </c>
      <c r="G76" s="32">
        <v>20000</v>
      </c>
      <c r="H76" s="32"/>
      <c r="I76" s="103"/>
      <c r="J76" s="73"/>
      <c r="K76" s="45"/>
      <c r="L76" s="11">
        <f>5000+5000+5000+5000</f>
        <v>20000</v>
      </c>
      <c r="M76" s="30" t="s">
        <v>131</v>
      </c>
      <c r="N76" s="141"/>
    </row>
    <row r="77" spans="2:14" ht="347.25">
      <c r="B77" s="6" t="s">
        <v>7</v>
      </c>
      <c r="C77" s="12">
        <v>3049560166</v>
      </c>
      <c r="D77" s="5" t="s">
        <v>232</v>
      </c>
      <c r="E77" s="10" t="s">
        <v>508</v>
      </c>
      <c r="F77" s="4" t="s">
        <v>509</v>
      </c>
      <c r="G77" s="5" t="s">
        <v>507</v>
      </c>
      <c r="H77" s="61"/>
      <c r="I77" s="94"/>
      <c r="J77" s="73"/>
      <c r="K77" s="45"/>
      <c r="L77" s="11">
        <f>8800+7400+1400+3000+1000+13200+12800+8800+4400</f>
        <v>60800</v>
      </c>
      <c r="M77" s="30" t="s">
        <v>131</v>
      </c>
      <c r="N77" s="141"/>
    </row>
    <row r="78" spans="2:14" ht="30">
      <c r="B78" s="6" t="s">
        <v>233</v>
      </c>
      <c r="C78" s="12" t="s">
        <v>234</v>
      </c>
      <c r="D78" s="5" t="s">
        <v>235</v>
      </c>
      <c r="E78" s="20">
        <v>43502</v>
      </c>
      <c r="F78" s="4" t="s">
        <v>236</v>
      </c>
      <c r="G78" s="78">
        <v>937.5</v>
      </c>
      <c r="H78" s="33"/>
      <c r="I78" s="105"/>
      <c r="J78" s="73"/>
      <c r="K78" s="45"/>
      <c r="L78" s="11">
        <v>750</v>
      </c>
      <c r="M78" s="1" t="s">
        <v>131</v>
      </c>
      <c r="N78" s="141"/>
    </row>
    <row r="79" spans="2:14" ht="90">
      <c r="B79" s="6" t="s">
        <v>237</v>
      </c>
      <c r="C79" s="12">
        <v>12735620150</v>
      </c>
      <c r="D79" s="5" t="s">
        <v>238</v>
      </c>
      <c r="E79" s="3">
        <v>43522</v>
      </c>
      <c r="F79" s="4" t="s">
        <v>239</v>
      </c>
      <c r="G79" s="5" t="s">
        <v>240</v>
      </c>
      <c r="H79" s="33"/>
      <c r="I79" s="105"/>
      <c r="J79" s="73"/>
      <c r="K79" s="45"/>
      <c r="L79" s="11">
        <v>2312.84</v>
      </c>
      <c r="M79" s="1" t="s">
        <v>131</v>
      </c>
      <c r="N79" s="141"/>
    </row>
    <row r="80" spans="2:14" ht="60">
      <c r="B80" s="6" t="s">
        <v>156</v>
      </c>
      <c r="C80" s="21">
        <v>7931520964</v>
      </c>
      <c r="D80" s="4" t="s">
        <v>157</v>
      </c>
      <c r="E80" s="10" t="s">
        <v>246</v>
      </c>
      <c r="F80" s="10" t="s">
        <v>247</v>
      </c>
      <c r="G80" s="33" t="s">
        <v>159</v>
      </c>
      <c r="H80" s="33"/>
      <c r="I80" s="105"/>
      <c r="J80" s="73"/>
      <c r="K80" s="45"/>
      <c r="L80" s="51">
        <f>2391.5+1906+2122+1909+2360+2633+1866+1850+1942.5+2051+1328.5+1270+1287.5+1322+1330+1297+1322+1320.5+1336.5+1259+1306+1339.5+1316+1258.5+1335+1311+991.12+668.66+1180+1180+1251+1219.5+1322+1276+1180+1180+1352+1454.5+1424+1424+1453+1459.5+1504+1347.5+1548+1473+1617+1440</f>
        <v>70914.78</v>
      </c>
      <c r="M80" s="1" t="s">
        <v>131</v>
      </c>
      <c r="N80" s="141"/>
    </row>
    <row r="81" spans="2:14" ht="45">
      <c r="B81" s="6" t="s">
        <v>248</v>
      </c>
      <c r="C81" s="12" t="s">
        <v>249</v>
      </c>
      <c r="D81" s="5" t="s">
        <v>250</v>
      </c>
      <c r="E81" s="20">
        <v>43571</v>
      </c>
      <c r="F81" s="4" t="s">
        <v>251</v>
      </c>
      <c r="G81" s="78" t="s">
        <v>252</v>
      </c>
      <c r="H81" s="33"/>
      <c r="I81" s="105"/>
      <c r="J81" s="73"/>
      <c r="K81" s="45"/>
      <c r="L81" s="11">
        <v>6000</v>
      </c>
      <c r="M81" s="30" t="s">
        <v>131</v>
      </c>
      <c r="N81" s="141"/>
    </row>
    <row r="82" spans="2:14" ht="45">
      <c r="B82" s="6" t="s">
        <v>253</v>
      </c>
      <c r="C82" s="12" t="s">
        <v>254</v>
      </c>
      <c r="D82" s="5" t="s">
        <v>250</v>
      </c>
      <c r="E82" s="3">
        <v>43571</v>
      </c>
      <c r="F82" s="4" t="s">
        <v>251</v>
      </c>
      <c r="G82" s="5" t="s">
        <v>252</v>
      </c>
      <c r="H82" s="5"/>
      <c r="I82" s="31"/>
      <c r="J82" s="73"/>
      <c r="K82" s="45"/>
      <c r="L82" s="11">
        <v>5116.72</v>
      </c>
      <c r="M82" s="30" t="s">
        <v>131</v>
      </c>
      <c r="N82" s="141"/>
    </row>
    <row r="83" spans="2:14" ht="30">
      <c r="B83" s="6" t="s">
        <v>259</v>
      </c>
      <c r="C83" s="21" t="s">
        <v>255</v>
      </c>
      <c r="D83" s="5" t="s">
        <v>256</v>
      </c>
      <c r="E83" s="3">
        <v>43600</v>
      </c>
      <c r="F83" s="4" t="s">
        <v>257</v>
      </c>
      <c r="G83" s="5" t="s">
        <v>258</v>
      </c>
      <c r="H83" s="31"/>
      <c r="I83" s="31"/>
      <c r="J83" s="70"/>
      <c r="K83" s="45"/>
      <c r="L83" s="11">
        <f>5344+1603.2</f>
        <v>6947.2</v>
      </c>
      <c r="M83" s="30" t="s">
        <v>131</v>
      </c>
      <c r="N83" s="141"/>
    </row>
    <row r="84" spans="2:14" ht="45">
      <c r="B84" s="6" t="s">
        <v>261</v>
      </c>
      <c r="C84" s="21" t="s">
        <v>264</v>
      </c>
      <c r="D84" s="5" t="s">
        <v>262</v>
      </c>
      <c r="E84" s="3">
        <v>43451</v>
      </c>
      <c r="F84" s="4"/>
      <c r="G84" s="5" t="s">
        <v>263</v>
      </c>
      <c r="H84" s="5"/>
      <c r="I84" s="31"/>
      <c r="J84" s="132"/>
      <c r="K84" s="143"/>
      <c r="L84" s="144"/>
      <c r="M84" s="30" t="s">
        <v>130</v>
      </c>
      <c r="N84" s="141"/>
    </row>
    <row r="85" spans="2:14" ht="45">
      <c r="B85" s="6" t="s">
        <v>277</v>
      </c>
      <c r="C85" s="21"/>
      <c r="D85" s="5" t="s">
        <v>266</v>
      </c>
      <c r="E85" s="3">
        <v>43643</v>
      </c>
      <c r="F85" s="4" t="s">
        <v>267</v>
      </c>
      <c r="G85" s="4" t="s">
        <v>276</v>
      </c>
      <c r="H85" s="5"/>
      <c r="I85" s="31"/>
      <c r="J85" s="73"/>
      <c r="K85" s="45"/>
      <c r="L85" s="11">
        <f>400000+400000</f>
        <v>800000</v>
      </c>
      <c r="M85" s="30" t="s">
        <v>131</v>
      </c>
      <c r="N85" s="141"/>
    </row>
    <row r="86" spans="2:14" ht="30">
      <c r="B86" s="6" t="s">
        <v>778</v>
      </c>
      <c r="C86" s="21" t="s">
        <v>704</v>
      </c>
      <c r="D86" s="25" t="s">
        <v>268</v>
      </c>
      <c r="E86" s="27">
        <v>43713</v>
      </c>
      <c r="F86" s="40" t="s">
        <v>269</v>
      </c>
      <c r="G86" s="61" t="s">
        <v>270</v>
      </c>
      <c r="H86" s="61"/>
      <c r="I86" s="94"/>
      <c r="J86" s="73"/>
      <c r="K86" s="51"/>
      <c r="L86" s="57">
        <f>9832.96+2458.24</f>
        <v>12291.199999999999</v>
      </c>
      <c r="M86" s="1" t="s">
        <v>131</v>
      </c>
      <c r="N86" s="141"/>
    </row>
    <row r="87" spans="2:14" ht="60">
      <c r="B87" s="6" t="s">
        <v>271</v>
      </c>
      <c r="C87" s="90" t="s">
        <v>272</v>
      </c>
      <c r="D87" s="25" t="s">
        <v>273</v>
      </c>
      <c r="E87" s="27">
        <v>43720</v>
      </c>
      <c r="F87" s="40" t="s">
        <v>274</v>
      </c>
      <c r="G87" s="61" t="s">
        <v>275</v>
      </c>
      <c r="H87" s="61"/>
      <c r="I87" s="94"/>
      <c r="J87" s="73"/>
      <c r="K87" s="51"/>
      <c r="L87" s="57">
        <f>13230+5670</f>
        <v>18900</v>
      </c>
      <c r="M87" s="30" t="s">
        <v>131</v>
      </c>
      <c r="N87" s="141"/>
    </row>
    <row r="88" spans="2:14" ht="45">
      <c r="B88" s="6" t="s">
        <v>278</v>
      </c>
      <c r="C88" s="90" t="s">
        <v>279</v>
      </c>
      <c r="D88" s="5" t="s">
        <v>280</v>
      </c>
      <c r="E88" s="27">
        <v>43748</v>
      </c>
      <c r="F88" s="40" t="s">
        <v>281</v>
      </c>
      <c r="G88" s="61" t="s">
        <v>282</v>
      </c>
      <c r="H88" s="61"/>
      <c r="I88" s="94"/>
      <c r="J88" s="73"/>
      <c r="K88" s="51"/>
      <c r="L88" s="57"/>
      <c r="M88" s="30" t="s">
        <v>130</v>
      </c>
      <c r="N88" s="141"/>
    </row>
    <row r="89" spans="2:14" ht="270">
      <c r="B89" s="6" t="s">
        <v>693</v>
      </c>
      <c r="C89" s="13" t="s">
        <v>283</v>
      </c>
      <c r="D89" s="4" t="s">
        <v>284</v>
      </c>
      <c r="E89" s="29">
        <v>43748</v>
      </c>
      <c r="F89" s="40" t="s">
        <v>285</v>
      </c>
      <c r="G89" s="93" t="s">
        <v>286</v>
      </c>
      <c r="H89" s="44"/>
      <c r="I89" s="94"/>
      <c r="J89" s="73"/>
      <c r="K89" s="51"/>
      <c r="L89" s="57">
        <f>131667+7000+65833.5+65833.5+7000+7000+5000+20000+7000+2800+7000+20000</f>
        <v>346134</v>
      </c>
      <c r="M89" s="30" t="s">
        <v>130</v>
      </c>
      <c r="N89" s="141"/>
    </row>
    <row r="90" spans="2:14" ht="45">
      <c r="B90" s="6" t="s">
        <v>778</v>
      </c>
      <c r="C90" s="21" t="s">
        <v>704</v>
      </c>
      <c r="D90" s="4" t="s">
        <v>287</v>
      </c>
      <c r="E90" s="29">
        <v>43760</v>
      </c>
      <c r="F90" s="40"/>
      <c r="G90" s="93" t="s">
        <v>288</v>
      </c>
      <c r="H90" s="61"/>
      <c r="I90" s="94"/>
      <c r="J90" s="73"/>
      <c r="K90" s="51"/>
      <c r="L90" s="57">
        <f>6904.6+13520.32</f>
        <v>20424.919999999998</v>
      </c>
      <c r="M90" s="1" t="s">
        <v>131</v>
      </c>
      <c r="N90" s="141"/>
    </row>
    <row r="91" spans="2:14" ht="60">
      <c r="B91" s="6" t="s">
        <v>290</v>
      </c>
      <c r="C91" s="89" t="s">
        <v>291</v>
      </c>
      <c r="D91" s="4" t="s">
        <v>292</v>
      </c>
      <c r="E91" s="29">
        <v>43775</v>
      </c>
      <c r="F91" s="40" t="s">
        <v>281</v>
      </c>
      <c r="G91" s="93" t="s">
        <v>293</v>
      </c>
      <c r="H91" s="61"/>
      <c r="I91" s="94"/>
      <c r="J91" s="73"/>
      <c r="K91" s="51"/>
      <c r="L91" s="57">
        <f>761+13205.66</f>
        <v>13966.66</v>
      </c>
      <c r="M91" s="1" t="s">
        <v>131</v>
      </c>
      <c r="N91" s="141"/>
    </row>
    <row r="92" spans="2:14" ht="90">
      <c r="B92" s="6" t="s">
        <v>778</v>
      </c>
      <c r="C92" s="21" t="s">
        <v>704</v>
      </c>
      <c r="D92" s="4" t="s">
        <v>294</v>
      </c>
      <c r="E92" s="29">
        <v>43781</v>
      </c>
      <c r="F92" s="40" t="s">
        <v>550</v>
      </c>
      <c r="G92" s="93" t="s">
        <v>295</v>
      </c>
      <c r="H92" s="61"/>
      <c r="I92" s="94"/>
      <c r="J92" s="73"/>
      <c r="K92" s="51"/>
      <c r="L92" s="57">
        <f>2602.69+9832.96</f>
        <v>12435.65</v>
      </c>
      <c r="M92" s="30" t="s">
        <v>131</v>
      </c>
      <c r="N92" s="141"/>
    </row>
    <row r="93" spans="2:14" ht="90">
      <c r="B93" s="6" t="s">
        <v>778</v>
      </c>
      <c r="C93" s="21" t="s">
        <v>704</v>
      </c>
      <c r="D93" s="4" t="s">
        <v>562</v>
      </c>
      <c r="E93" s="29">
        <v>43811</v>
      </c>
      <c r="F93" s="40" t="s">
        <v>550</v>
      </c>
      <c r="G93" s="93" t="s">
        <v>349</v>
      </c>
      <c r="H93" s="61"/>
      <c r="I93" s="94"/>
      <c r="J93" s="73"/>
      <c r="K93" s="51"/>
      <c r="L93" s="57">
        <f>7374.72+9832.96</f>
        <v>17207.68</v>
      </c>
      <c r="M93" s="30" t="s">
        <v>131</v>
      </c>
      <c r="N93" s="141"/>
    </row>
    <row r="94" spans="2:14" ht="60">
      <c r="B94" s="6" t="s">
        <v>7</v>
      </c>
      <c r="C94" s="95">
        <v>3049560166</v>
      </c>
      <c r="D94" s="96" t="s">
        <v>312</v>
      </c>
      <c r="E94" s="29">
        <v>43787</v>
      </c>
      <c r="F94" s="97" t="s">
        <v>296</v>
      </c>
      <c r="G94" s="98">
        <v>12000</v>
      </c>
      <c r="H94" s="61"/>
      <c r="I94" s="94"/>
      <c r="J94" s="73"/>
      <c r="K94" s="51"/>
      <c r="L94" s="57">
        <v>12000</v>
      </c>
      <c r="M94" s="30" t="s">
        <v>131</v>
      </c>
      <c r="N94" s="141"/>
    </row>
    <row r="95" spans="2:14" ht="30">
      <c r="B95" s="6" t="s">
        <v>26</v>
      </c>
      <c r="C95" s="12">
        <v>830660155</v>
      </c>
      <c r="D95" s="4" t="s">
        <v>36</v>
      </c>
      <c r="E95" s="3">
        <v>43802</v>
      </c>
      <c r="F95" s="3" t="s">
        <v>298</v>
      </c>
      <c r="G95" s="4" t="s">
        <v>29</v>
      </c>
      <c r="H95" s="61"/>
      <c r="I95" s="94"/>
      <c r="J95" s="73"/>
      <c r="K95" s="51"/>
      <c r="L95" s="51">
        <f>5759+5759</f>
        <v>11518</v>
      </c>
      <c r="M95" s="30" t="s">
        <v>131</v>
      </c>
      <c r="N95" s="141"/>
    </row>
    <row r="96" spans="2:14" ht="60">
      <c r="B96" s="6" t="s">
        <v>93</v>
      </c>
      <c r="C96" s="21" t="s">
        <v>715</v>
      </c>
      <c r="D96" s="4" t="s">
        <v>453</v>
      </c>
      <c r="E96" s="129" t="s">
        <v>454</v>
      </c>
      <c r="F96" s="40" t="s">
        <v>281</v>
      </c>
      <c r="G96" s="84" t="s">
        <v>299</v>
      </c>
      <c r="H96" s="88"/>
      <c r="I96" s="3"/>
      <c r="J96" s="62"/>
      <c r="K96" s="47"/>
      <c r="L96" s="11">
        <v>4500</v>
      </c>
      <c r="M96" s="30" t="s">
        <v>131</v>
      </c>
      <c r="N96" s="141"/>
    </row>
    <row r="97" spans="2:14" ht="75">
      <c r="B97" s="6" t="s">
        <v>110</v>
      </c>
      <c r="C97" s="13" t="s">
        <v>459</v>
      </c>
      <c r="D97" s="4" t="s">
        <v>300</v>
      </c>
      <c r="E97" s="3">
        <v>43819</v>
      </c>
      <c r="F97" s="40" t="s">
        <v>301</v>
      </c>
      <c r="G97" s="39" t="s">
        <v>302</v>
      </c>
      <c r="H97" s="88"/>
      <c r="I97" s="3"/>
      <c r="J97" s="62"/>
      <c r="K97" s="47"/>
      <c r="L97" s="11">
        <f>3500+3500</f>
        <v>7000</v>
      </c>
      <c r="M97" s="30" t="s">
        <v>131</v>
      </c>
      <c r="N97" s="141"/>
    </row>
    <row r="98" spans="2:14" ht="60">
      <c r="B98" s="6" t="s">
        <v>304</v>
      </c>
      <c r="C98" s="13">
        <v>10147540966</v>
      </c>
      <c r="D98" s="4" t="s">
        <v>305</v>
      </c>
      <c r="E98" s="3">
        <v>43819</v>
      </c>
      <c r="F98" s="40" t="s">
        <v>306</v>
      </c>
      <c r="G98" s="39">
        <v>46000</v>
      </c>
      <c r="H98" s="88"/>
      <c r="I98" s="3"/>
      <c r="J98" s="62"/>
      <c r="K98" s="47"/>
      <c r="L98" s="11">
        <v>46000</v>
      </c>
      <c r="M98" s="30" t="s">
        <v>131</v>
      </c>
      <c r="N98" s="141"/>
    </row>
    <row r="99" spans="2:14" ht="180">
      <c r="B99" s="6" t="s">
        <v>307</v>
      </c>
      <c r="C99" s="13" t="s">
        <v>308</v>
      </c>
      <c r="D99" s="4" t="s">
        <v>696</v>
      </c>
      <c r="E99" s="3">
        <v>43819</v>
      </c>
      <c r="F99" s="40" t="s">
        <v>309</v>
      </c>
      <c r="G99" s="39">
        <v>155011.12</v>
      </c>
      <c r="H99" s="88"/>
      <c r="I99" s="3"/>
      <c r="J99" s="62"/>
      <c r="K99" s="47"/>
      <c r="L99" s="11">
        <f>12400.89+24801.71+24801.77</f>
        <v>62004.369999999995</v>
      </c>
      <c r="M99" s="30" t="s">
        <v>130</v>
      </c>
      <c r="N99" s="141"/>
    </row>
    <row r="100" spans="2:14" ht="75">
      <c r="B100" s="6" t="s">
        <v>310</v>
      </c>
      <c r="C100" s="118">
        <v>11229180150</v>
      </c>
      <c r="D100" s="119" t="s">
        <v>350</v>
      </c>
      <c r="E100" s="120" t="s">
        <v>351</v>
      </c>
      <c r="F100" s="121" t="s">
        <v>352</v>
      </c>
      <c r="G100" s="122" t="s">
        <v>353</v>
      </c>
      <c r="H100" s="88"/>
      <c r="I100" s="3"/>
      <c r="J100" s="62"/>
      <c r="K100" s="47"/>
      <c r="L100" s="11">
        <f>4582.66+166.64+1666.42+1666.42+1666.42+1666.42+1666.42+1666.42+560+1666.42+280+1946.42+1666.42+280+1666.42+280+1666.42+280+280+1666.42+280+1666.42+280+1666.42+1666.42+280+1666.42+280+1666.42+280+1666.42+280+1666.42+280+1666.42+280+1666.42+280</f>
        <v>44504.119999999981</v>
      </c>
      <c r="M100" s="30" t="s">
        <v>131</v>
      </c>
      <c r="N100" s="141"/>
    </row>
    <row r="101" spans="2:14" ht="60">
      <c r="B101" s="6" t="s">
        <v>7</v>
      </c>
      <c r="C101" s="95">
        <v>3049560166</v>
      </c>
      <c r="D101" s="96" t="s">
        <v>311</v>
      </c>
      <c r="E101" s="29">
        <v>43858</v>
      </c>
      <c r="F101" s="97" t="s">
        <v>313</v>
      </c>
      <c r="G101" s="98">
        <v>3000</v>
      </c>
      <c r="H101" s="61"/>
      <c r="I101" s="94"/>
      <c r="J101" s="73"/>
      <c r="K101" s="51"/>
      <c r="L101" s="57">
        <v>3000</v>
      </c>
      <c r="M101" s="30" t="s">
        <v>131</v>
      </c>
      <c r="N101" s="141"/>
    </row>
    <row r="102" spans="2:14" ht="90">
      <c r="B102" s="6" t="s">
        <v>315</v>
      </c>
      <c r="C102" s="13" t="s">
        <v>316</v>
      </c>
      <c r="D102" s="96" t="s">
        <v>317</v>
      </c>
      <c r="E102" s="29">
        <v>43872</v>
      </c>
      <c r="F102" s="30" t="s">
        <v>318</v>
      </c>
      <c r="G102" s="98" t="s">
        <v>319</v>
      </c>
      <c r="H102" s="61"/>
      <c r="I102" s="94"/>
      <c r="J102" s="73"/>
      <c r="K102" s="51"/>
      <c r="L102" s="51">
        <f>1843.68+1597.86</f>
        <v>3441.54</v>
      </c>
      <c r="M102" s="30" t="s">
        <v>131</v>
      </c>
      <c r="N102" s="141"/>
    </row>
    <row r="103" spans="2:14" ht="30">
      <c r="B103" s="6" t="s">
        <v>193</v>
      </c>
      <c r="C103" s="21" t="s">
        <v>153</v>
      </c>
      <c r="D103" s="4" t="s">
        <v>242</v>
      </c>
      <c r="E103" s="10">
        <v>43880</v>
      </c>
      <c r="F103" s="10" t="s">
        <v>321</v>
      </c>
      <c r="G103" s="32">
        <v>38000</v>
      </c>
      <c r="H103" s="32"/>
      <c r="I103" s="103"/>
      <c r="J103" s="73"/>
      <c r="K103" s="51"/>
      <c r="L103" s="11">
        <f>4750+4750+4750+4750+4750+4750+4750+4750</f>
        <v>38000</v>
      </c>
      <c r="M103" s="30" t="s">
        <v>131</v>
      </c>
      <c r="N103" s="141"/>
    </row>
    <row r="104" spans="2:14" ht="75">
      <c r="B104" s="6" t="s">
        <v>315</v>
      </c>
      <c r="C104" s="13" t="s">
        <v>316</v>
      </c>
      <c r="D104" s="4" t="s">
        <v>322</v>
      </c>
      <c r="E104" s="10">
        <v>43899</v>
      </c>
      <c r="F104" s="10" t="s">
        <v>323</v>
      </c>
      <c r="G104" s="110" t="s">
        <v>324</v>
      </c>
      <c r="H104" s="32"/>
      <c r="I104" s="103"/>
      <c r="J104" s="73"/>
      <c r="K104" s="51"/>
      <c r="L104" s="11">
        <v>1175.68</v>
      </c>
      <c r="M104" s="30" t="s">
        <v>131</v>
      </c>
      <c r="N104" s="141"/>
    </row>
    <row r="105" spans="2:14" ht="60">
      <c r="B105" s="6" t="s">
        <v>143</v>
      </c>
      <c r="C105" s="13" t="s">
        <v>144</v>
      </c>
      <c r="D105" s="4" t="s">
        <v>325</v>
      </c>
      <c r="E105" s="112" t="s">
        <v>328</v>
      </c>
      <c r="F105" s="1" t="s">
        <v>326</v>
      </c>
      <c r="G105" s="4" t="s">
        <v>327</v>
      </c>
      <c r="H105" s="110"/>
      <c r="I105" s="103"/>
      <c r="J105" s="73"/>
      <c r="K105" s="51"/>
      <c r="L105" s="11">
        <f>16032+11362.67+13260.6</f>
        <v>40655.269999999997</v>
      </c>
      <c r="M105" s="30" t="s">
        <v>131</v>
      </c>
      <c r="N105" s="141"/>
    </row>
    <row r="106" spans="2:14" ht="60">
      <c r="B106" s="6" t="s">
        <v>329</v>
      </c>
      <c r="C106" s="13" t="s">
        <v>330</v>
      </c>
      <c r="D106" s="4" t="s">
        <v>331</v>
      </c>
      <c r="E106" s="112">
        <v>43937</v>
      </c>
      <c r="F106" s="1" t="s">
        <v>332</v>
      </c>
      <c r="G106" s="4" t="s">
        <v>333</v>
      </c>
      <c r="H106" s="32"/>
      <c r="I106" s="103"/>
      <c r="J106" s="73"/>
      <c r="K106" s="51"/>
      <c r="L106" s="11"/>
      <c r="M106" s="30" t="s">
        <v>130</v>
      </c>
      <c r="N106" s="141"/>
    </row>
    <row r="107" spans="2:14" s="113" customFormat="1" ht="75">
      <c r="B107" s="6" t="s">
        <v>335</v>
      </c>
      <c r="C107" s="13">
        <v>12265560016</v>
      </c>
      <c r="D107" s="4" t="s">
        <v>336</v>
      </c>
      <c r="E107" s="112">
        <v>44025</v>
      </c>
      <c r="F107" s="1" t="s">
        <v>337</v>
      </c>
      <c r="G107" s="4" t="s">
        <v>338</v>
      </c>
      <c r="H107" s="32"/>
      <c r="I107" s="103"/>
      <c r="J107" s="73"/>
      <c r="K107" s="51"/>
      <c r="L107" s="11">
        <v>4800</v>
      </c>
      <c r="M107" s="30" t="s">
        <v>131</v>
      </c>
      <c r="N107" s="160"/>
    </row>
    <row r="108" spans="2:14" s="113" customFormat="1" ht="60">
      <c r="B108" s="6" t="s">
        <v>339</v>
      </c>
      <c r="C108" s="13" t="s">
        <v>77</v>
      </c>
      <c r="D108" s="4" t="s">
        <v>340</v>
      </c>
      <c r="E108" s="112">
        <v>44035</v>
      </c>
      <c r="F108" s="1" t="s">
        <v>341</v>
      </c>
      <c r="G108" s="114" t="s">
        <v>342</v>
      </c>
      <c r="H108" s="32"/>
      <c r="I108" s="103"/>
      <c r="J108" s="73"/>
      <c r="K108" s="51"/>
      <c r="L108" s="11">
        <v>2137.6</v>
      </c>
      <c r="M108" s="30" t="s">
        <v>131</v>
      </c>
      <c r="N108" s="160"/>
    </row>
    <row r="109" spans="2:14" ht="60">
      <c r="B109" s="6" t="s">
        <v>354</v>
      </c>
      <c r="C109" s="13">
        <v>13278150159</v>
      </c>
      <c r="D109" s="4" t="s">
        <v>355</v>
      </c>
      <c r="E109" s="112">
        <v>44141</v>
      </c>
      <c r="F109" s="1" t="s">
        <v>365</v>
      </c>
      <c r="G109" s="114" t="s">
        <v>364</v>
      </c>
      <c r="H109" s="110"/>
      <c r="I109" s="103"/>
      <c r="J109" s="73"/>
      <c r="K109" s="51"/>
      <c r="L109" s="51">
        <v>6261.29</v>
      </c>
      <c r="M109" s="30" t="s">
        <v>131</v>
      </c>
      <c r="N109" s="141"/>
    </row>
    <row r="110" spans="2:14" ht="45">
      <c r="B110" s="6" t="s">
        <v>356</v>
      </c>
      <c r="C110" s="21" t="s">
        <v>357</v>
      </c>
      <c r="D110" s="4" t="s">
        <v>358</v>
      </c>
      <c r="E110" s="10" t="s">
        <v>752</v>
      </c>
      <c r="F110" s="10" t="s">
        <v>751</v>
      </c>
      <c r="G110" s="76" t="s">
        <v>755</v>
      </c>
      <c r="H110" s="75"/>
      <c r="I110" s="87"/>
      <c r="J110" s="73"/>
      <c r="K110" s="24"/>
      <c r="L110" s="24">
        <f>903.19+903.19+903.19+903.19+903.19+903.19+903.19+903.19+903.19+903.19+903.19+903.19+903.19+903.19+903.19+903.19+903.19+903.19+903.19+903.19+903.19+903.19+903.19+903.19+903.19+903.19+903.19+903.19+903.19+903.19+903.19+903.19+903.19+903.19+903.19+903.19+903.19+903.19</f>
        <v>34321.219999999987</v>
      </c>
      <c r="M110" s="30" t="s">
        <v>131</v>
      </c>
      <c r="N110" s="141"/>
    </row>
    <row r="111" spans="2:14" ht="60">
      <c r="B111" s="6" t="s">
        <v>359</v>
      </c>
      <c r="C111" s="21" t="s">
        <v>360</v>
      </c>
      <c r="D111" s="4" t="s">
        <v>361</v>
      </c>
      <c r="E111" s="10">
        <v>44106</v>
      </c>
      <c r="F111" s="1" t="s">
        <v>362</v>
      </c>
      <c r="G111" s="75" t="s">
        <v>363</v>
      </c>
      <c r="H111" s="75"/>
      <c r="I111" s="87"/>
      <c r="J111" s="132"/>
      <c r="K111" s="24"/>
      <c r="L111" s="24">
        <v>3300</v>
      </c>
      <c r="M111" s="30" t="s">
        <v>131</v>
      </c>
      <c r="N111" s="141"/>
    </row>
    <row r="112" spans="2:14" ht="60">
      <c r="B112" s="6" t="s">
        <v>368</v>
      </c>
      <c r="C112" s="85" t="s">
        <v>366</v>
      </c>
      <c r="D112" s="4" t="s">
        <v>367</v>
      </c>
      <c r="E112" s="136" t="s">
        <v>553</v>
      </c>
      <c r="F112" s="116" t="s">
        <v>554</v>
      </c>
      <c r="G112" s="110" t="s">
        <v>555</v>
      </c>
      <c r="H112" s="4"/>
      <c r="I112" s="10"/>
      <c r="J112" s="62"/>
      <c r="K112" s="24"/>
      <c r="L112" s="24">
        <f>83.66+966.68+1431.43+316.03+213.79+2202.92+1710.28-139.43+92.95+250.97+1849.71+2072.79+2202.92+232.37+632.06+2732.73+2398.11+2472.47+111.54+1775.35+65.07+148.72+2853.57+1691.69+2974.4+92.95+2472.47+3058.06+3076.65+2723.44</f>
        <v>42766.350000000006</v>
      </c>
      <c r="M112" s="30" t="s">
        <v>131</v>
      </c>
      <c r="N112" s="141"/>
    </row>
    <row r="113" spans="2:14" ht="75">
      <c r="B113" s="6" t="s">
        <v>369</v>
      </c>
      <c r="C113" s="85" t="s">
        <v>370</v>
      </c>
      <c r="D113" s="4" t="s">
        <v>371</v>
      </c>
      <c r="E113" s="81">
        <v>44152</v>
      </c>
      <c r="F113" s="116" t="s">
        <v>372</v>
      </c>
      <c r="G113" s="110" t="s">
        <v>373</v>
      </c>
      <c r="H113" s="4"/>
      <c r="I113" s="10"/>
      <c r="J113" s="62"/>
      <c r="K113" s="24"/>
      <c r="L113" s="24">
        <v>6412.8</v>
      </c>
      <c r="M113" s="30" t="s">
        <v>131</v>
      </c>
      <c r="N113" s="141"/>
    </row>
    <row r="114" spans="2:14" ht="75">
      <c r="B114" s="6" t="s">
        <v>778</v>
      </c>
      <c r="C114" s="21" t="s">
        <v>704</v>
      </c>
      <c r="D114" s="4" t="s">
        <v>374</v>
      </c>
      <c r="E114" s="29">
        <v>44161</v>
      </c>
      <c r="F114" s="40" t="s">
        <v>375</v>
      </c>
      <c r="G114" s="93" t="s">
        <v>376</v>
      </c>
      <c r="H114" s="61"/>
      <c r="I114" s="94"/>
      <c r="J114" s="73"/>
      <c r="K114" s="51"/>
      <c r="L114" s="57">
        <v>7374.72</v>
      </c>
      <c r="M114" s="30" t="s">
        <v>131</v>
      </c>
      <c r="N114" s="141"/>
    </row>
    <row r="115" spans="2:14" ht="105">
      <c r="B115" s="6" t="s">
        <v>806</v>
      </c>
      <c r="C115" s="12">
        <v>80104190154</v>
      </c>
      <c r="D115" s="4" t="s">
        <v>808</v>
      </c>
      <c r="E115" s="10" t="s">
        <v>809</v>
      </c>
      <c r="F115" s="40" t="s">
        <v>810</v>
      </c>
      <c r="G115" s="93" t="s">
        <v>377</v>
      </c>
      <c r="H115" s="61"/>
      <c r="I115" s="94"/>
      <c r="J115" s="73"/>
      <c r="K115" s="51"/>
      <c r="L115" s="51">
        <f>2638.83+2638.83+2638.83+2638.83+2638.83+2638.83+2638.83+2638.83+2638.83+2638.83+2638.83+2638.83+2638.83+2638.83+2638+83+2638+83+2638.83+2638.83+2638.83+2638.83+2638.83+2638.83+2638.83+2638.83+2638.83+2638.83+2638.83+2638.83+2638.83+2638.83+2638.83+2638.83+2638.83+2638.83+2638.83+2638.83+2638.83+2638.83+2638.83+2638.83+2638.83+2638.83+2638.83</f>
        <v>113634.03000000006</v>
      </c>
      <c r="M115" s="30" t="s">
        <v>130</v>
      </c>
      <c r="N115" s="141"/>
    </row>
    <row r="116" spans="2:14" ht="75">
      <c r="B116" s="6" t="s">
        <v>378</v>
      </c>
      <c r="C116" s="21" t="s">
        <v>382</v>
      </c>
      <c r="D116" s="4" t="s">
        <v>379</v>
      </c>
      <c r="E116" s="29">
        <v>44166</v>
      </c>
      <c r="F116" s="40" t="s">
        <v>380</v>
      </c>
      <c r="G116" s="93" t="s">
        <v>381</v>
      </c>
      <c r="H116" s="61"/>
      <c r="I116" s="94"/>
      <c r="J116" s="73"/>
      <c r="K116" s="51"/>
      <c r="L116" s="51">
        <f>3122+3122+3122+3122+3122</f>
        <v>15610</v>
      </c>
      <c r="M116" s="30" t="s">
        <v>131</v>
      </c>
      <c r="N116" s="141"/>
    </row>
    <row r="117" spans="2:14" ht="105">
      <c r="B117" s="6" t="s">
        <v>383</v>
      </c>
      <c r="C117" s="12">
        <v>80149630156</v>
      </c>
      <c r="D117" s="4" t="s">
        <v>807</v>
      </c>
      <c r="E117" s="10" t="s">
        <v>811</v>
      </c>
      <c r="F117" s="40" t="s">
        <v>812</v>
      </c>
      <c r="G117" s="93" t="s">
        <v>377</v>
      </c>
      <c r="H117" s="61"/>
      <c r="I117" s="94"/>
      <c r="J117" s="73"/>
      <c r="K117" s="57">
        <f>2638.83+2638.83+2638.83</f>
        <v>7916.49</v>
      </c>
      <c r="L117" s="57">
        <f>2211.44+2211.44+2211.44+2211.44+2211.44+2211.44+2211.44+2211.44+2211.44+2211.44+2211.44+2211.44+2211.44+2211.44+2211.44+2211.44+2211.44+935.61+2211.44+2327.44+1749+2211.44+2211.44+2211.44+2211.44+2211.44+2211.44+2211.44+2211.44+2211.44+2211.44+2211.44+2211.44+2211.44+2211.44+2211.44+2211.44+2211.44+2211.44+2638.83+2638.83+2638.83+2638.83+2638.83+2638.83+2638.83+2638.83+2638.83</f>
        <v>108373.36000000006</v>
      </c>
      <c r="M117" s="30" t="s">
        <v>130</v>
      </c>
      <c r="N117" s="141"/>
    </row>
    <row r="118" spans="2:14" ht="90">
      <c r="B118" s="6" t="s">
        <v>384</v>
      </c>
      <c r="C118" s="12">
        <v>97229620154</v>
      </c>
      <c r="D118" s="4" t="s">
        <v>385</v>
      </c>
      <c r="E118" s="29">
        <v>44176</v>
      </c>
      <c r="F118" s="40" t="s">
        <v>676</v>
      </c>
      <c r="G118" s="93" t="s">
        <v>377</v>
      </c>
      <c r="H118" s="61"/>
      <c r="I118" s="94"/>
      <c r="J118" s="73"/>
      <c r="K118" s="51"/>
      <c r="L118" s="57">
        <f>1234.7+2015.29+2025.61+2025.7+2104.06+1745.21+1745.3+2073.53+2103.97+2025.7+2025.69+2103.97+2186.98+2025.71+2082.04+2075.71+1955.59+2103.97+1920.46+2111.11+2027.09+2034.66+2027.15+1882.29</f>
        <v>47661.49</v>
      </c>
      <c r="M118" s="30" t="s">
        <v>131</v>
      </c>
      <c r="N118" s="141"/>
    </row>
    <row r="119" spans="2:14" ht="30">
      <c r="B119" s="6" t="s">
        <v>386</v>
      </c>
      <c r="C119" s="21" t="s">
        <v>523</v>
      </c>
      <c r="D119" s="4" t="s">
        <v>36</v>
      </c>
      <c r="E119" s="3">
        <v>44168</v>
      </c>
      <c r="F119" s="3" t="s">
        <v>387</v>
      </c>
      <c r="G119" s="4" t="s">
        <v>29</v>
      </c>
      <c r="H119" s="61"/>
      <c r="I119" s="94"/>
      <c r="J119" s="73"/>
      <c r="K119" s="51"/>
      <c r="L119" s="51">
        <f>4799.17+5759</f>
        <v>10558.17</v>
      </c>
      <c r="M119" s="30" t="s">
        <v>131</v>
      </c>
      <c r="N119" s="141"/>
    </row>
    <row r="120" spans="2:14" ht="60">
      <c r="B120" s="6" t="s">
        <v>224</v>
      </c>
      <c r="C120" s="21" t="s">
        <v>225</v>
      </c>
      <c r="D120" s="4" t="s">
        <v>388</v>
      </c>
      <c r="E120" s="26">
        <v>44201</v>
      </c>
      <c r="F120" s="40" t="s">
        <v>389</v>
      </c>
      <c r="G120" s="32" t="s">
        <v>390</v>
      </c>
      <c r="H120" s="32"/>
      <c r="I120" s="103"/>
      <c r="J120" s="73"/>
      <c r="K120" s="45"/>
      <c r="L120" s="45">
        <v>8051</v>
      </c>
      <c r="M120" s="1" t="s">
        <v>131</v>
      </c>
      <c r="N120" s="141"/>
    </row>
    <row r="121" spans="2:14" ht="60">
      <c r="B121" s="6" t="s">
        <v>391</v>
      </c>
      <c r="C121" s="21" t="s">
        <v>392</v>
      </c>
      <c r="D121" s="4" t="s">
        <v>447</v>
      </c>
      <c r="E121" s="26">
        <v>44200</v>
      </c>
      <c r="F121" s="40" t="s">
        <v>410</v>
      </c>
      <c r="G121" s="32" t="s">
        <v>393</v>
      </c>
      <c r="H121" s="32"/>
      <c r="I121" s="103"/>
      <c r="J121" s="73"/>
      <c r="K121" s="45"/>
      <c r="L121" s="11">
        <f>12291.2+14749.44</f>
        <v>27040.639999999999</v>
      </c>
      <c r="M121" s="30" t="s">
        <v>486</v>
      </c>
      <c r="N121" s="141"/>
    </row>
    <row r="122" spans="2:14" ht="165">
      <c r="B122" s="6" t="s">
        <v>396</v>
      </c>
      <c r="C122" s="13" t="s">
        <v>144</v>
      </c>
      <c r="D122" s="4" t="s">
        <v>394</v>
      </c>
      <c r="E122" s="112">
        <v>44211</v>
      </c>
      <c r="F122" s="1" t="s">
        <v>468</v>
      </c>
      <c r="G122" s="32" t="s">
        <v>395</v>
      </c>
      <c r="H122" s="110"/>
      <c r="I122" s="103"/>
      <c r="J122" s="73"/>
      <c r="K122" s="51"/>
      <c r="L122" s="11">
        <v>37408</v>
      </c>
      <c r="M122" s="30" t="s">
        <v>131</v>
      </c>
      <c r="N122" s="141"/>
    </row>
    <row r="123" spans="2:14" ht="90">
      <c r="B123" s="6" t="s">
        <v>396</v>
      </c>
      <c r="C123" s="13" t="s">
        <v>144</v>
      </c>
      <c r="D123" s="4" t="s">
        <v>397</v>
      </c>
      <c r="E123" s="112">
        <v>44223</v>
      </c>
      <c r="F123" s="40" t="s">
        <v>389</v>
      </c>
      <c r="G123" s="32" t="s">
        <v>373</v>
      </c>
      <c r="H123" s="110"/>
      <c r="I123" s="103"/>
      <c r="J123" s="73"/>
      <c r="K123" s="51"/>
      <c r="L123" s="11">
        <v>6412.8</v>
      </c>
      <c r="M123" s="30" t="s">
        <v>131</v>
      </c>
      <c r="N123" s="141"/>
    </row>
    <row r="124" spans="2:14" ht="60">
      <c r="B124" s="6" t="s">
        <v>7</v>
      </c>
      <c r="C124" s="95">
        <v>3049560166</v>
      </c>
      <c r="D124" s="96" t="s">
        <v>398</v>
      </c>
      <c r="E124" s="29">
        <v>44224</v>
      </c>
      <c r="F124" s="97" t="s">
        <v>301</v>
      </c>
      <c r="G124" s="98">
        <v>3000</v>
      </c>
      <c r="H124" s="32"/>
      <c r="I124" s="103"/>
      <c r="J124" s="73"/>
      <c r="K124" s="51"/>
      <c r="L124" s="11">
        <v>3000</v>
      </c>
      <c r="M124" s="30" t="s">
        <v>131</v>
      </c>
      <c r="N124" s="141"/>
    </row>
    <row r="125" spans="2:14" ht="90">
      <c r="B125" s="6" t="s">
        <v>406</v>
      </c>
      <c r="C125" s="95" t="s">
        <v>407</v>
      </c>
      <c r="D125" s="4" t="s">
        <v>404</v>
      </c>
      <c r="E125" s="31" t="s">
        <v>437</v>
      </c>
      <c r="F125" s="3" t="s">
        <v>405</v>
      </c>
      <c r="G125" s="128" t="s">
        <v>438</v>
      </c>
      <c r="H125" s="32"/>
      <c r="I125" s="103"/>
      <c r="J125" s="73"/>
      <c r="K125" s="51"/>
      <c r="L125" s="51">
        <v>14629.2</v>
      </c>
      <c r="M125" s="30" t="s">
        <v>131</v>
      </c>
      <c r="N125" s="141"/>
    </row>
    <row r="126" spans="2:14" ht="90">
      <c r="B126" s="6" t="s">
        <v>408</v>
      </c>
      <c r="C126" s="12">
        <v>12866070159</v>
      </c>
      <c r="D126" s="4" t="s">
        <v>409</v>
      </c>
      <c r="E126" s="3">
        <v>44256</v>
      </c>
      <c r="F126" s="40" t="s">
        <v>425</v>
      </c>
      <c r="G126" s="4" t="s">
        <v>501</v>
      </c>
      <c r="H126" s="36"/>
      <c r="I126" s="87"/>
      <c r="J126" s="67"/>
      <c r="K126" s="47"/>
      <c r="L126" s="47">
        <f>1347.41+4724.07</f>
        <v>6071.48</v>
      </c>
      <c r="M126" s="30" t="s">
        <v>131</v>
      </c>
      <c r="N126" s="141"/>
    </row>
    <row r="127" spans="2:14" ht="60">
      <c r="B127" s="6" t="s">
        <v>391</v>
      </c>
      <c r="C127" s="21" t="s">
        <v>392</v>
      </c>
      <c r="D127" s="4" t="s">
        <v>411</v>
      </c>
      <c r="E127" s="26">
        <v>44263</v>
      </c>
      <c r="F127" s="124" t="s">
        <v>415</v>
      </c>
      <c r="G127" s="32" t="s">
        <v>412</v>
      </c>
      <c r="H127" s="36"/>
      <c r="I127" s="87"/>
      <c r="J127" s="67"/>
      <c r="K127" s="47"/>
      <c r="L127" s="47">
        <f>2067.13+2943.74</f>
        <v>5010.87</v>
      </c>
      <c r="M127" s="30" t="s">
        <v>130</v>
      </c>
      <c r="N127" s="141"/>
    </row>
    <row r="128" spans="2:14" ht="120">
      <c r="B128" s="6" t="s">
        <v>391</v>
      </c>
      <c r="C128" s="21" t="s">
        <v>392</v>
      </c>
      <c r="D128" s="4" t="s">
        <v>487</v>
      </c>
      <c r="E128" s="26">
        <v>44263</v>
      </c>
      <c r="F128" s="133" t="s">
        <v>413</v>
      </c>
      <c r="G128" s="32" t="s">
        <v>414</v>
      </c>
      <c r="H128" s="36"/>
      <c r="I128" s="87"/>
      <c r="J128" s="67"/>
      <c r="K128" s="47"/>
      <c r="L128" s="11">
        <v>5678.53</v>
      </c>
      <c r="M128" s="30" t="s">
        <v>131</v>
      </c>
      <c r="N128" s="141"/>
    </row>
    <row r="129" spans="2:14" ht="75">
      <c r="B129" s="6" t="s">
        <v>396</v>
      </c>
      <c r="C129" s="13" t="s">
        <v>144</v>
      </c>
      <c r="D129" s="4" t="s">
        <v>416</v>
      </c>
      <c r="E129" s="112">
        <v>44280</v>
      </c>
      <c r="F129" s="40" t="s">
        <v>417</v>
      </c>
      <c r="G129" s="110" t="s">
        <v>418</v>
      </c>
      <c r="H129" s="32"/>
      <c r="I129" s="103"/>
      <c r="J129" s="73"/>
      <c r="K129" s="11"/>
      <c r="L129" s="11">
        <v>4275.2</v>
      </c>
      <c r="M129" s="30" t="s">
        <v>131</v>
      </c>
      <c r="N129" s="141"/>
    </row>
    <row r="130" spans="2:14" s="113" customFormat="1" ht="48.75" customHeight="1">
      <c r="B130" s="6" t="s">
        <v>120</v>
      </c>
      <c r="C130" s="21" t="s">
        <v>121</v>
      </c>
      <c r="D130" s="4" t="s">
        <v>421</v>
      </c>
      <c r="E130" s="27">
        <v>44300</v>
      </c>
      <c r="F130" s="26" t="s">
        <v>116</v>
      </c>
      <c r="G130" s="82" t="s">
        <v>422</v>
      </c>
      <c r="H130" s="32"/>
      <c r="I130" s="103"/>
      <c r="J130" s="73"/>
      <c r="K130" s="51">
        <f>248.38+248.38+248.38</f>
        <v>745.14</v>
      </c>
      <c r="L130" s="11">
        <f>248.38+248.38+248.38+248.38+248.38+248.38+248.38+248.38+248.38+384.57+248.38+248.38+248.38+248.38+248.38+248.38+248.38+248.38+248.38+248.38+248.38+248.38+248.38+248.38+248.38+248.38+248.38+248.38+248.38+248.38+248.38+248.38+248.38+248.38+248.38+248.38+248.38+248.38+248.38+248.38+248.38</f>
        <v>10319.769999999997</v>
      </c>
      <c r="M130" s="30" t="s">
        <v>130</v>
      </c>
      <c r="N130" s="160"/>
    </row>
    <row r="131" spans="2:14" s="113" customFormat="1" ht="105">
      <c r="B131" s="6" t="s">
        <v>423</v>
      </c>
      <c r="C131" s="21" t="s">
        <v>186</v>
      </c>
      <c r="D131" s="4" t="s">
        <v>929</v>
      </c>
      <c r="E131" s="27">
        <v>44285</v>
      </c>
      <c r="F131" s="10" t="s">
        <v>424</v>
      </c>
      <c r="G131" s="126" t="s">
        <v>870</v>
      </c>
      <c r="H131" s="76"/>
      <c r="I131" s="10"/>
      <c r="J131" s="73"/>
      <c r="K131" s="51">
        <v>1938.85</v>
      </c>
      <c r="L131" s="51">
        <f>41292.67+32885.86+34676.32+30745.69+134.5+143.75+17378.86+8017.3+8003.52+8320.61+7024.61+7231.42+8077.93+691.57+2061.48+6.71+1641.79+1534.94+1731.16+8.31+7.18+6.83+1670.96+1562.22+1761.93+7.29+7.67+1875.16+1753.13+1977.26+8.21+7.07+1729.3+1616.76+1823.45+7.56+2098.11+9.06+2215.51+2071.33+2336.13+2354.52+2171.37+1662.81+37.6+1474.32+33.33+6.45+1576.95+2781+9.68+7.05+1129.62+1001.57+4.38+4.14+1068.09+947.02+1071.29+1012.95+1068.09+947.02+4.14+1012.95+4.68+4.43+4.43+1980.08+44.77+1345.15+13.28+12.93+12.93+12.43+10935.15+1345.15+1271.89+1938.85</f>
        <v>276473.61</v>
      </c>
      <c r="M131" s="30" t="s">
        <v>130</v>
      </c>
      <c r="N131" s="160"/>
    </row>
    <row r="132" spans="2:14" ht="90">
      <c r="B132" s="6" t="s">
        <v>408</v>
      </c>
      <c r="C132" s="12">
        <v>12866070159</v>
      </c>
      <c r="D132" s="4" t="s">
        <v>426</v>
      </c>
      <c r="E132" s="3">
        <v>44302</v>
      </c>
      <c r="F132" s="40" t="s">
        <v>446</v>
      </c>
      <c r="G132" s="4" t="s">
        <v>501</v>
      </c>
      <c r="H132" s="36"/>
      <c r="I132" s="87"/>
      <c r="J132" s="67"/>
      <c r="K132" s="47"/>
      <c r="L132" s="47">
        <f>2067.13+3665.09</f>
        <v>5732.22</v>
      </c>
      <c r="M132" s="30" t="s">
        <v>131</v>
      </c>
      <c r="N132" s="141"/>
    </row>
    <row r="133" spans="2:14" ht="75">
      <c r="B133" s="6" t="s">
        <v>429</v>
      </c>
      <c r="C133" s="12">
        <v>2073640134</v>
      </c>
      <c r="D133" s="4" t="s">
        <v>430</v>
      </c>
      <c r="E133" s="3">
        <v>44334</v>
      </c>
      <c r="F133" s="40" t="s">
        <v>380</v>
      </c>
      <c r="G133" s="4" t="s">
        <v>431</v>
      </c>
      <c r="H133" s="36"/>
      <c r="I133" s="87"/>
      <c r="J133" s="67"/>
      <c r="K133" s="47"/>
      <c r="L133" s="11"/>
      <c r="M133" s="30" t="s">
        <v>130</v>
      </c>
      <c r="N133" s="141"/>
    </row>
    <row r="134" spans="2:14" ht="45">
      <c r="B134" s="6" t="s">
        <v>432</v>
      </c>
      <c r="C134" s="12" t="s">
        <v>433</v>
      </c>
      <c r="D134" s="4" t="s">
        <v>434</v>
      </c>
      <c r="E134" s="3">
        <v>44334</v>
      </c>
      <c r="F134" s="40" t="s">
        <v>435</v>
      </c>
      <c r="G134" s="4" t="s">
        <v>436</v>
      </c>
      <c r="H134" s="36"/>
      <c r="I134" s="87"/>
      <c r="J134" s="67"/>
      <c r="K134" s="47"/>
      <c r="L134" s="11"/>
      <c r="M134" s="30" t="s">
        <v>130</v>
      </c>
      <c r="N134" s="141"/>
    </row>
    <row r="135" spans="2:14" ht="135">
      <c r="B135" s="6" t="s">
        <v>466</v>
      </c>
      <c r="C135" s="13" t="s">
        <v>467</v>
      </c>
      <c r="D135" s="25" t="s">
        <v>118</v>
      </c>
      <c r="E135" s="29">
        <v>44355</v>
      </c>
      <c r="F135" s="116" t="s">
        <v>440</v>
      </c>
      <c r="G135" s="4" t="s">
        <v>439</v>
      </c>
      <c r="H135" s="91"/>
      <c r="I135" s="106"/>
      <c r="J135" s="62"/>
      <c r="K135" s="24"/>
      <c r="L135" s="57">
        <f>5875+5875+5875+5875+5875+5875</f>
        <v>35250</v>
      </c>
      <c r="M135" s="30" t="s">
        <v>130</v>
      </c>
      <c r="N135" s="141"/>
    </row>
    <row r="136" spans="2:14" ht="60">
      <c r="B136" s="6" t="s">
        <v>391</v>
      </c>
      <c r="C136" s="21" t="s">
        <v>392</v>
      </c>
      <c r="D136" s="4" t="s">
        <v>441</v>
      </c>
      <c r="E136" s="26">
        <v>44414</v>
      </c>
      <c r="F136" s="10" t="s">
        <v>415</v>
      </c>
      <c r="G136" s="32" t="s">
        <v>442</v>
      </c>
      <c r="H136" s="36"/>
      <c r="I136" s="87"/>
      <c r="J136" s="67"/>
      <c r="K136" s="47"/>
      <c r="L136" s="11">
        <v>2458.2399999999998</v>
      </c>
      <c r="M136" s="30" t="s">
        <v>131</v>
      </c>
      <c r="N136" s="141"/>
    </row>
    <row r="137" spans="2:14" ht="60">
      <c r="B137" s="6" t="s">
        <v>613</v>
      </c>
      <c r="C137" s="13">
        <v>12265560016</v>
      </c>
      <c r="D137" s="4" t="s">
        <v>443</v>
      </c>
      <c r="E137" s="112">
        <v>44364</v>
      </c>
      <c r="F137" s="1" t="s">
        <v>444</v>
      </c>
      <c r="G137" s="4" t="s">
        <v>445</v>
      </c>
      <c r="H137" s="32"/>
      <c r="I137" s="103"/>
      <c r="J137" s="73"/>
      <c r="K137" s="51"/>
      <c r="L137" s="11">
        <f>2750+2750+2860+2860</f>
        <v>11220</v>
      </c>
      <c r="M137" s="30" t="s">
        <v>130</v>
      </c>
      <c r="N137" s="141"/>
    </row>
    <row r="138" spans="2:14" ht="60">
      <c r="B138" s="6" t="s">
        <v>391</v>
      </c>
      <c r="C138" s="21" t="s">
        <v>392</v>
      </c>
      <c r="D138" s="4" t="s">
        <v>448</v>
      </c>
      <c r="E138" s="26">
        <v>44370</v>
      </c>
      <c r="F138" s="10" t="s">
        <v>415</v>
      </c>
      <c r="G138" s="110" t="s">
        <v>449</v>
      </c>
      <c r="H138" s="36"/>
      <c r="I138" s="87"/>
      <c r="J138" s="67"/>
      <c r="K138" s="47"/>
      <c r="L138" s="11">
        <f>1496.13+844.78</f>
        <v>2340.91</v>
      </c>
      <c r="M138" s="30" t="s">
        <v>131</v>
      </c>
      <c r="N138" s="141"/>
    </row>
    <row r="139" spans="2:14" ht="135">
      <c r="B139" s="6" t="s">
        <v>494</v>
      </c>
      <c r="C139" s="21" t="s">
        <v>450</v>
      </c>
      <c r="D139" s="4" t="s">
        <v>100</v>
      </c>
      <c r="E139" s="10" t="s">
        <v>885</v>
      </c>
      <c r="F139" s="4" t="s">
        <v>884</v>
      </c>
      <c r="G139" s="4" t="s">
        <v>886</v>
      </c>
      <c r="H139" s="4"/>
      <c r="I139" s="40"/>
      <c r="J139" s="65"/>
      <c r="K139" s="46">
        <f>5000+1336</f>
        <v>6336</v>
      </c>
      <c r="L139" s="11">
        <f>5000+1336+5000+1336+5000+1336+5000+1336+5000+1336+5000+1336+5000+1336+5000+1336+5000+1336+5000+1336+5000+1336+5000+1336</f>
        <v>76032</v>
      </c>
      <c r="M139" s="1" t="s">
        <v>131</v>
      </c>
      <c r="N139" s="141"/>
    </row>
    <row r="140" spans="2:14" ht="60">
      <c r="B140" s="6" t="s">
        <v>451</v>
      </c>
      <c r="C140" s="21" t="s">
        <v>452</v>
      </c>
      <c r="D140" s="4" t="s">
        <v>930</v>
      </c>
      <c r="E140" s="3">
        <v>44383</v>
      </c>
      <c r="F140" s="137" t="s">
        <v>415</v>
      </c>
      <c r="G140" s="4" t="s">
        <v>436</v>
      </c>
      <c r="H140" s="4"/>
      <c r="I140" s="40"/>
      <c r="J140" s="65"/>
      <c r="K140" s="46"/>
      <c r="L140" s="11">
        <v>10688</v>
      </c>
      <c r="M140" s="1" t="s">
        <v>131</v>
      </c>
      <c r="N140" s="141"/>
    </row>
    <row r="141" spans="2:14" ht="45">
      <c r="B141" s="6" t="s">
        <v>455</v>
      </c>
      <c r="C141" s="21" t="s">
        <v>456</v>
      </c>
      <c r="D141" s="4" t="s">
        <v>573</v>
      </c>
      <c r="E141" s="130">
        <v>44397</v>
      </c>
      <c r="F141" s="10" t="s">
        <v>457</v>
      </c>
      <c r="G141" s="131" t="s">
        <v>458</v>
      </c>
      <c r="H141" s="4"/>
      <c r="I141" s="40"/>
      <c r="J141" s="65"/>
      <c r="K141" s="46"/>
      <c r="L141" s="46">
        <v>10766.83</v>
      </c>
      <c r="M141" s="30" t="s">
        <v>130</v>
      </c>
      <c r="N141" s="141"/>
    </row>
    <row r="142" spans="2:14" ht="45">
      <c r="B142" s="6" t="s">
        <v>110</v>
      </c>
      <c r="C142" s="13" t="s">
        <v>459</v>
      </c>
      <c r="D142" s="4" t="s">
        <v>460</v>
      </c>
      <c r="E142" s="112">
        <v>44397</v>
      </c>
      <c r="F142" s="138" t="s">
        <v>461</v>
      </c>
      <c r="G142" s="4" t="s">
        <v>462</v>
      </c>
      <c r="H142" s="4"/>
      <c r="I142" s="40"/>
      <c r="J142" s="65"/>
      <c r="K142" s="46"/>
      <c r="L142" s="11">
        <f>11500+2875+2875+2875+26400+2875</f>
        <v>49400</v>
      </c>
      <c r="M142" s="30" t="s">
        <v>131</v>
      </c>
      <c r="N142" s="141"/>
    </row>
    <row r="143" spans="2:14" ht="45">
      <c r="B143" s="6" t="s">
        <v>13</v>
      </c>
      <c r="C143" s="13">
        <v>2309220602</v>
      </c>
      <c r="D143" s="4" t="s">
        <v>463</v>
      </c>
      <c r="E143" s="112">
        <v>44397</v>
      </c>
      <c r="F143" s="1" t="s">
        <v>457</v>
      </c>
      <c r="G143" s="4" t="s">
        <v>464</v>
      </c>
      <c r="H143" s="4"/>
      <c r="I143" s="40"/>
      <c r="J143" s="65"/>
      <c r="K143" s="46"/>
      <c r="L143" s="46">
        <v>18929</v>
      </c>
      <c r="M143" s="30" t="s">
        <v>130</v>
      </c>
      <c r="N143" s="141"/>
    </row>
    <row r="144" spans="2:14" ht="75">
      <c r="B144" s="6" t="s">
        <v>473</v>
      </c>
      <c r="C144" s="13" t="s">
        <v>474</v>
      </c>
      <c r="D144" s="4" t="s">
        <v>475</v>
      </c>
      <c r="E144" s="112">
        <v>44445</v>
      </c>
      <c r="F144" s="1" t="s">
        <v>480</v>
      </c>
      <c r="G144" s="4" t="s">
        <v>476</v>
      </c>
      <c r="H144" s="4"/>
      <c r="I144" s="40"/>
      <c r="J144" s="65"/>
      <c r="K144" s="46"/>
      <c r="L144" s="11">
        <v>16032</v>
      </c>
      <c r="M144" s="30" t="s">
        <v>131</v>
      </c>
      <c r="N144" s="141"/>
    </row>
    <row r="145" spans="2:14" ht="183">
      <c r="B145" s="6" t="s">
        <v>477</v>
      </c>
      <c r="C145" s="13" t="s">
        <v>478</v>
      </c>
      <c r="D145" s="4" t="s">
        <v>479</v>
      </c>
      <c r="E145" s="112">
        <v>44467</v>
      </c>
      <c r="F145" s="1" t="s">
        <v>480</v>
      </c>
      <c r="G145" s="4" t="s">
        <v>481</v>
      </c>
      <c r="H145" s="4"/>
      <c r="I145" s="40"/>
      <c r="J145" s="65"/>
      <c r="K145" s="46"/>
      <c r="L145" s="45">
        <v>4275.2</v>
      </c>
      <c r="M145" s="30" t="s">
        <v>131</v>
      </c>
      <c r="N145" s="141"/>
    </row>
    <row r="146" spans="2:14" ht="75">
      <c r="B146" s="6" t="s">
        <v>396</v>
      </c>
      <c r="C146" s="13" t="s">
        <v>144</v>
      </c>
      <c r="D146" s="4" t="s">
        <v>488</v>
      </c>
      <c r="E146" s="112" t="s">
        <v>594</v>
      </c>
      <c r="F146" s="1" t="s">
        <v>593</v>
      </c>
      <c r="G146" s="110" t="s">
        <v>582</v>
      </c>
      <c r="H146" s="110"/>
      <c r="I146" s="94"/>
      <c r="J146" s="73"/>
      <c r="K146" s="51"/>
      <c r="L146" s="51">
        <f>9084.8+9084.8+9084.8+9084.8+54508.8+7481.6</f>
        <v>98329.600000000006</v>
      </c>
      <c r="M146" s="30" t="s">
        <v>131</v>
      </c>
      <c r="N146" s="141"/>
    </row>
    <row r="147" spans="2:14" ht="60">
      <c r="B147" s="6" t="s">
        <v>7</v>
      </c>
      <c r="C147" s="95">
        <v>3049560166</v>
      </c>
      <c r="D147" s="96" t="s">
        <v>489</v>
      </c>
      <c r="E147" s="29">
        <v>44487</v>
      </c>
      <c r="F147" s="97" t="s">
        <v>490</v>
      </c>
      <c r="G147" s="98">
        <v>3000</v>
      </c>
      <c r="H147" s="32"/>
      <c r="I147" s="103"/>
      <c r="J147" s="73"/>
      <c r="K147" s="51"/>
      <c r="L147" s="11"/>
      <c r="M147" s="30" t="s">
        <v>131</v>
      </c>
      <c r="N147" s="141"/>
    </row>
    <row r="148" spans="2:14" ht="60">
      <c r="B148" s="6" t="s">
        <v>432</v>
      </c>
      <c r="C148" s="12" t="s">
        <v>433</v>
      </c>
      <c r="D148" s="4" t="s">
        <v>491</v>
      </c>
      <c r="E148" s="3">
        <v>44490</v>
      </c>
      <c r="F148" s="40" t="s">
        <v>435</v>
      </c>
      <c r="G148" s="4" t="s">
        <v>492</v>
      </c>
      <c r="H148" s="36"/>
      <c r="I148" s="87"/>
      <c r="J148" s="67"/>
      <c r="K148" s="47"/>
      <c r="L148" s="47">
        <f>4382.19+4541.19+6863.51</f>
        <v>15786.89</v>
      </c>
      <c r="M148" s="30" t="s">
        <v>130</v>
      </c>
      <c r="N148" s="141"/>
    </row>
    <row r="149" spans="2:14">
      <c r="B149" s="6" t="s">
        <v>197</v>
      </c>
      <c r="C149" s="21" t="s">
        <v>198</v>
      </c>
      <c r="D149" s="23" t="s">
        <v>199</v>
      </c>
      <c r="E149" s="26">
        <v>44494</v>
      </c>
      <c r="F149" s="56" t="s">
        <v>624</v>
      </c>
      <c r="G149" s="98" t="s">
        <v>625</v>
      </c>
      <c r="H149" s="11"/>
      <c r="I149" s="105"/>
      <c r="J149" s="73"/>
      <c r="K149" s="45"/>
      <c r="L149" s="11">
        <f>3750.02+3749.98</f>
        <v>7500</v>
      </c>
      <c r="M149" s="30" t="s">
        <v>131</v>
      </c>
      <c r="N149" s="141"/>
    </row>
    <row r="150" spans="2:14" ht="90">
      <c r="B150" s="6" t="s">
        <v>408</v>
      </c>
      <c r="C150" s="12">
        <v>12866070159</v>
      </c>
      <c r="D150" s="4" t="s">
        <v>499</v>
      </c>
      <c r="E150" s="26">
        <v>44523</v>
      </c>
      <c r="F150" s="97" t="s">
        <v>500</v>
      </c>
      <c r="G150" s="4" t="s">
        <v>501</v>
      </c>
      <c r="H150" s="11"/>
      <c r="I150" s="105"/>
      <c r="J150" s="73"/>
      <c r="K150" s="45"/>
      <c r="L150" s="11">
        <f>392.93+3274.64+4142.03+3952.13+4437.33+3760.37+4438.76+4275.37+4268.76+2837.72+4468.72+4052.61+4528.36+2209.48</f>
        <v>51039.210000000006</v>
      </c>
      <c r="M150" s="30" t="s">
        <v>131</v>
      </c>
      <c r="N150" s="141"/>
    </row>
    <row r="151" spans="2:14" ht="30">
      <c r="B151" s="6" t="s">
        <v>205</v>
      </c>
      <c r="C151" s="12">
        <v>1850570746</v>
      </c>
      <c r="D151" s="4" t="s">
        <v>206</v>
      </c>
      <c r="E151" s="26">
        <v>44544</v>
      </c>
      <c r="F151" s="10" t="s">
        <v>496</v>
      </c>
      <c r="G151" s="58" t="s">
        <v>495</v>
      </c>
      <c r="H151" s="58"/>
      <c r="I151" s="108"/>
      <c r="J151" s="73"/>
      <c r="K151" s="45"/>
      <c r="L151" s="24">
        <f>8550+8550</f>
        <v>17100</v>
      </c>
      <c r="M151" s="1" t="s">
        <v>131</v>
      </c>
      <c r="N151" s="141"/>
    </row>
    <row r="152" spans="2:14" ht="90">
      <c r="B152" s="6" t="s">
        <v>477</v>
      </c>
      <c r="C152" s="13" t="s">
        <v>478</v>
      </c>
      <c r="D152" s="4" t="s">
        <v>497</v>
      </c>
      <c r="E152" s="112">
        <v>44566</v>
      </c>
      <c r="F152" s="4" t="s">
        <v>498</v>
      </c>
      <c r="G152" s="4" t="s">
        <v>505</v>
      </c>
      <c r="H152" s="58"/>
      <c r="I152" s="108"/>
      <c r="J152" s="73"/>
      <c r="K152" s="45"/>
      <c r="L152" s="24">
        <v>3072.8</v>
      </c>
      <c r="M152" s="30" t="s">
        <v>131</v>
      </c>
      <c r="N152" s="141"/>
    </row>
    <row r="153" spans="2:14" ht="60">
      <c r="B153" s="6" t="s">
        <v>510</v>
      </c>
      <c r="C153" s="21" t="s">
        <v>511</v>
      </c>
      <c r="D153" s="4" t="s">
        <v>512</v>
      </c>
      <c r="E153" s="10">
        <v>44578</v>
      </c>
      <c r="F153" s="10" t="s">
        <v>513</v>
      </c>
      <c r="G153" s="59" t="s">
        <v>514</v>
      </c>
      <c r="H153" s="59"/>
      <c r="I153" s="105"/>
      <c r="J153" s="45"/>
      <c r="K153" s="45">
        <f>1528.93+1402.16</f>
        <v>2931.09</v>
      </c>
      <c r="L153" s="11">
        <f>270+3421.04+1568.38+1931.7+2006.79+1746.18+1372.3+1317.88+1286.28+1528.93+1402.16</f>
        <v>17851.64</v>
      </c>
      <c r="M153" s="30" t="s">
        <v>130</v>
      </c>
      <c r="N153" s="141"/>
    </row>
    <row r="154" spans="2:14" ht="90">
      <c r="B154" s="6" t="s">
        <v>391</v>
      </c>
      <c r="C154" s="21" t="s">
        <v>392</v>
      </c>
      <c r="D154" s="4" t="s">
        <v>522</v>
      </c>
      <c r="E154" s="26">
        <v>44586</v>
      </c>
      <c r="F154" s="10" t="s">
        <v>503</v>
      </c>
      <c r="G154" s="4" t="s">
        <v>504</v>
      </c>
      <c r="H154" s="36"/>
      <c r="I154" s="87"/>
      <c r="J154" s="67"/>
      <c r="K154" s="47"/>
      <c r="L154" s="11">
        <v>2654.9</v>
      </c>
      <c r="M154" s="30" t="s">
        <v>131</v>
      </c>
      <c r="N154" s="141"/>
    </row>
    <row r="155" spans="2:14" ht="75">
      <c r="B155" s="6" t="s">
        <v>477</v>
      </c>
      <c r="C155" s="13" t="s">
        <v>478</v>
      </c>
      <c r="D155" s="4" t="s">
        <v>506</v>
      </c>
      <c r="E155" s="112">
        <v>44531</v>
      </c>
      <c r="F155" s="4" t="s">
        <v>498</v>
      </c>
      <c r="G155" s="5" t="s">
        <v>521</v>
      </c>
      <c r="H155" s="58"/>
      <c r="I155" s="108"/>
      <c r="J155" s="73"/>
      <c r="K155" s="45"/>
      <c r="L155" s="45">
        <v>8235.1</v>
      </c>
      <c r="M155" s="30" t="s">
        <v>131</v>
      </c>
      <c r="N155" s="141"/>
    </row>
    <row r="156" spans="2:14" ht="240">
      <c r="B156" s="6" t="s">
        <v>220</v>
      </c>
      <c r="C156" s="21" t="s">
        <v>515</v>
      </c>
      <c r="D156" s="5" t="s">
        <v>516</v>
      </c>
      <c r="E156" s="10">
        <v>44592</v>
      </c>
      <c r="F156" s="40" t="s">
        <v>517</v>
      </c>
      <c r="G156" s="5" t="s">
        <v>518</v>
      </c>
      <c r="H156" s="58"/>
      <c r="I156" s="40"/>
      <c r="J156" s="73"/>
      <c r="K156" s="45">
        <v>465</v>
      </c>
      <c r="L156" s="11">
        <f>7200+3500+14400+2400+7760+2200+1070+3770+15520+2590+2300+8225+1145+3995+16430+465+7420</f>
        <v>100390</v>
      </c>
      <c r="M156" s="30" t="s">
        <v>131</v>
      </c>
      <c r="N156" s="141"/>
    </row>
    <row r="157" spans="2:14" ht="45">
      <c r="B157" s="6" t="s">
        <v>193</v>
      </c>
      <c r="C157" s="21" t="s">
        <v>153</v>
      </c>
      <c r="D157" s="4" t="s">
        <v>519</v>
      </c>
      <c r="E157" s="10">
        <v>44594</v>
      </c>
      <c r="F157" s="40" t="s">
        <v>520</v>
      </c>
      <c r="G157" s="32">
        <v>20000</v>
      </c>
      <c r="H157" s="32"/>
      <c r="I157" s="103"/>
      <c r="J157" s="73"/>
      <c r="K157" s="51"/>
      <c r="L157" s="11">
        <f>5000+5000+5000+5000</f>
        <v>20000</v>
      </c>
      <c r="M157" s="30" t="s">
        <v>131</v>
      </c>
      <c r="N157" s="141"/>
    </row>
    <row r="158" spans="2:14" ht="30">
      <c r="B158" s="6" t="s">
        <v>386</v>
      </c>
      <c r="C158" s="21" t="s">
        <v>523</v>
      </c>
      <c r="D158" s="4" t="s">
        <v>36</v>
      </c>
      <c r="E158" s="3">
        <v>44592</v>
      </c>
      <c r="F158" s="3" t="s">
        <v>744</v>
      </c>
      <c r="G158" s="4" t="s">
        <v>29</v>
      </c>
      <c r="H158" s="61"/>
      <c r="I158" s="94"/>
      <c r="J158" s="73"/>
      <c r="K158" s="51"/>
      <c r="L158" s="51">
        <f>5759+5759</f>
        <v>11518</v>
      </c>
      <c r="M158" s="30" t="s">
        <v>131</v>
      </c>
      <c r="N158" s="141"/>
    </row>
    <row r="159" spans="2:14" ht="60">
      <c r="B159" s="6" t="s">
        <v>477</v>
      </c>
      <c r="C159" s="13" t="s">
        <v>478</v>
      </c>
      <c r="D159" s="4" t="s">
        <v>524</v>
      </c>
      <c r="E159" s="112">
        <v>44608</v>
      </c>
      <c r="F159" s="4" t="s">
        <v>525</v>
      </c>
      <c r="G159" s="5" t="s">
        <v>526</v>
      </c>
      <c r="H159" s="58"/>
      <c r="I159" s="108"/>
      <c r="J159" s="73"/>
      <c r="K159" s="45"/>
      <c r="L159" s="45">
        <v>4916.4799999999996</v>
      </c>
      <c r="M159" s="30" t="s">
        <v>131</v>
      </c>
      <c r="N159" s="141"/>
    </row>
    <row r="160" spans="2:14" ht="90">
      <c r="B160" s="6" t="s">
        <v>455</v>
      </c>
      <c r="C160" s="21" t="s">
        <v>456</v>
      </c>
      <c r="D160" s="4" t="s">
        <v>527</v>
      </c>
      <c r="E160" s="130">
        <v>44622</v>
      </c>
      <c r="F160" s="112" t="s">
        <v>528</v>
      </c>
      <c r="G160" s="131" t="s">
        <v>529</v>
      </c>
      <c r="H160" s="4"/>
      <c r="I160" s="40"/>
      <c r="J160" s="65"/>
      <c r="K160" s="46"/>
      <c r="L160" s="46">
        <v>1229.1199999999999</v>
      </c>
      <c r="M160" s="30" t="s">
        <v>131</v>
      </c>
      <c r="N160" s="141"/>
    </row>
    <row r="161" spans="2:14" ht="45">
      <c r="B161" s="6" t="s">
        <v>530</v>
      </c>
      <c r="C161" s="21" t="s">
        <v>531</v>
      </c>
      <c r="D161" s="4" t="s">
        <v>532</v>
      </c>
      <c r="E161" s="172" t="s">
        <v>843</v>
      </c>
      <c r="F161" s="112" t="s">
        <v>844</v>
      </c>
      <c r="G161" s="135">
        <v>43320</v>
      </c>
      <c r="H161" s="4"/>
      <c r="I161" s="40"/>
      <c r="J161" s="65"/>
      <c r="K161" s="11"/>
      <c r="L161" s="11">
        <f>1805+1805+1805+1805+1805+1805+1805+1805+1805+1805+1805+1805+1805+24.5+1805+1805+1805+1805+1805+1805+1805+1805+1805+1805+1805+1805+1805</f>
        <v>46954.5</v>
      </c>
      <c r="M161" s="30" t="s">
        <v>131</v>
      </c>
      <c r="N161" s="141"/>
    </row>
    <row r="162" spans="2:14" ht="45">
      <c r="B162" s="6" t="s">
        <v>533</v>
      </c>
      <c r="C162" s="21" t="s">
        <v>534</v>
      </c>
      <c r="D162" s="4" t="s">
        <v>535</v>
      </c>
      <c r="E162" s="130">
        <v>44630</v>
      </c>
      <c r="F162" s="112" t="s">
        <v>177</v>
      </c>
      <c r="G162" s="135">
        <v>60000</v>
      </c>
      <c r="H162" s="4" t="s">
        <v>938</v>
      </c>
      <c r="I162" s="40">
        <v>45488</v>
      </c>
      <c r="J162" s="65" t="s">
        <v>927</v>
      </c>
      <c r="K162" s="46">
        <v>7800</v>
      </c>
      <c r="L162" s="11">
        <f>7800+7800+7800</f>
        <v>23400</v>
      </c>
      <c r="M162" s="30" t="s">
        <v>130</v>
      </c>
      <c r="N162" s="141"/>
    </row>
    <row r="163" spans="2:14" ht="75">
      <c r="B163" s="6" t="s">
        <v>378</v>
      </c>
      <c r="C163" s="21" t="s">
        <v>382</v>
      </c>
      <c r="D163" s="4" t="s">
        <v>536</v>
      </c>
      <c r="E163" s="29">
        <v>44641</v>
      </c>
      <c r="F163" s="40" t="s">
        <v>537</v>
      </c>
      <c r="G163" s="93" t="s">
        <v>538</v>
      </c>
      <c r="H163" s="61"/>
      <c r="I163" s="94"/>
      <c r="J163" s="73"/>
      <c r="K163" s="51"/>
      <c r="L163" s="57">
        <f>522+2082.08</f>
        <v>2604.08</v>
      </c>
      <c r="M163" s="30" t="s">
        <v>131</v>
      </c>
      <c r="N163" s="141"/>
    </row>
    <row r="164" spans="2:14" ht="135">
      <c r="B164" s="6" t="s">
        <v>156</v>
      </c>
      <c r="C164" s="21">
        <v>7931520964</v>
      </c>
      <c r="D164" s="4" t="s">
        <v>157</v>
      </c>
      <c r="E164" s="40" t="s">
        <v>742</v>
      </c>
      <c r="F164" s="10" t="s">
        <v>539</v>
      </c>
      <c r="G164" s="33" t="s">
        <v>743</v>
      </c>
      <c r="H164" s="33"/>
      <c r="I164" s="105"/>
      <c r="J164" s="73"/>
      <c r="K164" s="51">
        <f>878+980+702+410+428+419+356+347+347+338+640</f>
        <v>5845</v>
      </c>
      <c r="L164" s="51">
        <f>1397+1510+1482.5+1500.5+1549.5+1454+1436+1378+1689.5+1490+1511+1290.71+878+980+702+410+428+419+356+347+347+338+640</f>
        <v>23533.71</v>
      </c>
      <c r="M164" s="1" t="s">
        <v>130</v>
      </c>
      <c r="N164" s="141"/>
    </row>
    <row r="165" spans="2:14" ht="45">
      <c r="B165" s="6" t="s">
        <v>540</v>
      </c>
      <c r="C165" s="21" t="s">
        <v>541</v>
      </c>
      <c r="D165" s="4" t="s">
        <v>542</v>
      </c>
      <c r="E165" s="10">
        <v>44677</v>
      </c>
      <c r="F165" s="40" t="s">
        <v>543</v>
      </c>
      <c r="G165" s="135">
        <v>15000</v>
      </c>
      <c r="H165" s="33"/>
      <c r="I165" s="105"/>
      <c r="J165" s="73"/>
      <c r="K165" s="45"/>
      <c r="L165" s="51">
        <v>16032</v>
      </c>
      <c r="M165" s="1" t="s">
        <v>131</v>
      </c>
      <c r="N165" s="141"/>
    </row>
    <row r="166" spans="2:14" ht="60">
      <c r="B166" s="6" t="s">
        <v>778</v>
      </c>
      <c r="C166" s="21" t="s">
        <v>704</v>
      </c>
      <c r="D166" s="4" t="s">
        <v>544</v>
      </c>
      <c r="E166" s="29">
        <v>44677</v>
      </c>
      <c r="F166" s="40" t="s">
        <v>552</v>
      </c>
      <c r="G166" s="93" t="s">
        <v>545</v>
      </c>
      <c r="H166" s="61"/>
      <c r="I166" s="94"/>
      <c r="J166" s="73"/>
      <c r="K166" s="51"/>
      <c r="L166" s="51">
        <f>3687.36+3687.36</f>
        <v>7374.72</v>
      </c>
      <c r="M166" s="30" t="s">
        <v>131</v>
      </c>
      <c r="N166" s="141"/>
    </row>
    <row r="167" spans="2:14" ht="105">
      <c r="B167" s="6" t="s">
        <v>477</v>
      </c>
      <c r="C167" s="13" t="s">
        <v>478</v>
      </c>
      <c r="D167" s="4" t="s">
        <v>546</v>
      </c>
      <c r="E167" s="112">
        <v>44680</v>
      </c>
      <c r="F167" s="40" t="s">
        <v>547</v>
      </c>
      <c r="G167" s="5" t="s">
        <v>548</v>
      </c>
      <c r="H167" s="58"/>
      <c r="I167" s="108"/>
      <c r="J167" s="73"/>
      <c r="K167" s="45"/>
      <c r="L167" s="45"/>
      <c r="M167" s="30" t="s">
        <v>130</v>
      </c>
      <c r="N167" s="141"/>
    </row>
    <row r="168" spans="2:14" ht="60">
      <c r="B168" s="6" t="s">
        <v>778</v>
      </c>
      <c r="C168" s="21" t="s">
        <v>704</v>
      </c>
      <c r="D168" s="4" t="s">
        <v>549</v>
      </c>
      <c r="E168" s="29">
        <v>44700</v>
      </c>
      <c r="F168" s="40" t="s">
        <v>552</v>
      </c>
      <c r="G168" s="93" t="s">
        <v>551</v>
      </c>
      <c r="H168" s="61"/>
      <c r="I168" s="94"/>
      <c r="J168" s="73"/>
      <c r="K168" s="51"/>
      <c r="L168" s="51">
        <v>25070.12</v>
      </c>
      <c r="M168" s="30" t="s">
        <v>131</v>
      </c>
      <c r="N168" s="141"/>
    </row>
    <row r="169" spans="2:14" ht="105">
      <c r="B169" s="6" t="s">
        <v>315</v>
      </c>
      <c r="C169" s="21" t="s">
        <v>316</v>
      </c>
      <c r="D169" s="4" t="s">
        <v>572</v>
      </c>
      <c r="E169" s="29">
        <v>44718</v>
      </c>
      <c r="F169" s="40" t="s">
        <v>552</v>
      </c>
      <c r="G169" s="93" t="s">
        <v>556</v>
      </c>
      <c r="H169" s="61"/>
      <c r="I169" s="94"/>
      <c r="J169" s="73"/>
      <c r="K169" s="51"/>
      <c r="L169" s="51">
        <f>3206.4+1603.2</f>
        <v>4809.6000000000004</v>
      </c>
      <c r="M169" s="30" t="s">
        <v>131</v>
      </c>
      <c r="N169" s="141"/>
    </row>
    <row r="170" spans="2:14" ht="90">
      <c r="B170" s="6" t="s">
        <v>557</v>
      </c>
      <c r="C170" s="21" t="s">
        <v>558</v>
      </c>
      <c r="D170" s="4" t="s">
        <v>559</v>
      </c>
      <c r="E170" s="29">
        <v>44721</v>
      </c>
      <c r="F170" s="40" t="s">
        <v>560</v>
      </c>
      <c r="G170" s="93" t="s">
        <v>561</v>
      </c>
      <c r="H170" s="61"/>
      <c r="I170" s="94"/>
      <c r="J170" s="73"/>
      <c r="K170" s="51"/>
      <c r="L170" s="51">
        <f>15781.39+15835.69</f>
        <v>31617.08</v>
      </c>
      <c r="M170" s="30" t="s">
        <v>131</v>
      </c>
      <c r="N170" s="141"/>
    </row>
    <row r="171" spans="2:14" ht="60">
      <c r="B171" s="6" t="s">
        <v>13</v>
      </c>
      <c r="C171" s="13">
        <v>2309220602</v>
      </c>
      <c r="D171" s="4" t="s">
        <v>563</v>
      </c>
      <c r="E171" s="29">
        <v>44722</v>
      </c>
      <c r="F171" s="40" t="s">
        <v>564</v>
      </c>
      <c r="G171" s="93" t="s">
        <v>565</v>
      </c>
      <c r="H171" s="61"/>
      <c r="I171" s="94"/>
      <c r="J171" s="73"/>
      <c r="K171" s="51"/>
      <c r="L171" s="57">
        <f>1020+3606.03</f>
        <v>4626.0300000000007</v>
      </c>
      <c r="M171" s="30" t="s">
        <v>131</v>
      </c>
      <c r="N171" s="141"/>
    </row>
    <row r="172" spans="2:14" ht="75">
      <c r="B172" s="6" t="s">
        <v>473</v>
      </c>
      <c r="C172" s="13" t="s">
        <v>474</v>
      </c>
      <c r="D172" s="4" t="s">
        <v>566</v>
      </c>
      <c r="E172" s="29">
        <v>44722</v>
      </c>
      <c r="F172" s="40" t="s">
        <v>567</v>
      </c>
      <c r="G172" s="93" t="s">
        <v>568</v>
      </c>
      <c r="H172" s="61"/>
      <c r="I172" s="94"/>
      <c r="J172" s="73"/>
      <c r="K172" s="51"/>
      <c r="L172" s="57">
        <v>5344</v>
      </c>
      <c r="M172" s="30" t="s">
        <v>131</v>
      </c>
      <c r="N172" s="141"/>
    </row>
    <row r="173" spans="2:14" ht="30">
      <c r="B173" s="6" t="s">
        <v>569</v>
      </c>
      <c r="C173" s="13" t="s">
        <v>570</v>
      </c>
      <c r="D173" s="4" t="s">
        <v>571</v>
      </c>
      <c r="E173" s="29">
        <v>44722</v>
      </c>
      <c r="F173" s="40"/>
      <c r="G173" s="93">
        <v>21094.400000000001</v>
      </c>
      <c r="H173" s="61"/>
      <c r="I173" s="94"/>
      <c r="J173" s="73"/>
      <c r="K173" s="51"/>
      <c r="L173" s="57">
        <v>21094.400000000001</v>
      </c>
      <c r="M173" s="30" t="s">
        <v>131</v>
      </c>
      <c r="N173" s="141"/>
    </row>
    <row r="174" spans="2:14" ht="60">
      <c r="B174" s="6" t="s">
        <v>557</v>
      </c>
      <c r="C174" s="21" t="s">
        <v>558</v>
      </c>
      <c r="D174" s="4" t="s">
        <v>574</v>
      </c>
      <c r="E174" s="29">
        <v>44740</v>
      </c>
      <c r="F174" s="40" t="s">
        <v>575</v>
      </c>
      <c r="G174" s="93" t="s">
        <v>576</v>
      </c>
      <c r="H174" s="61"/>
      <c r="I174" s="94"/>
      <c r="J174" s="73"/>
      <c r="K174" s="51"/>
      <c r="L174" s="51">
        <f>4623.26-8.8</f>
        <v>4614.46</v>
      </c>
      <c r="M174" s="30" t="s">
        <v>131</v>
      </c>
      <c r="N174" s="141"/>
    </row>
    <row r="175" spans="2:14" ht="60">
      <c r="B175" s="6" t="s">
        <v>577</v>
      </c>
      <c r="C175" s="21" t="s">
        <v>578</v>
      </c>
      <c r="D175" s="4" t="s">
        <v>579</v>
      </c>
      <c r="E175" s="29">
        <v>44747</v>
      </c>
      <c r="F175" s="40" t="s">
        <v>580</v>
      </c>
      <c r="G175" s="93" t="s">
        <v>581</v>
      </c>
      <c r="H175" s="61"/>
      <c r="I175" s="94"/>
      <c r="J175" s="73"/>
      <c r="K175" s="51"/>
      <c r="L175" s="57"/>
      <c r="M175" s="30" t="s">
        <v>130</v>
      </c>
      <c r="N175" s="141"/>
    </row>
    <row r="176" spans="2:14" ht="45">
      <c r="B176" s="6" t="s">
        <v>193</v>
      </c>
      <c r="C176" s="21" t="s">
        <v>153</v>
      </c>
      <c r="D176" s="4" t="s">
        <v>583</v>
      </c>
      <c r="E176" s="10">
        <v>44754</v>
      </c>
      <c r="F176" s="40" t="s">
        <v>584</v>
      </c>
      <c r="G176" s="32">
        <v>7500</v>
      </c>
      <c r="H176" s="32"/>
      <c r="I176" s="103"/>
      <c r="J176" s="73"/>
      <c r="K176" s="51"/>
      <c r="L176" s="11">
        <v>7500</v>
      </c>
      <c r="M176" s="30" t="s">
        <v>131</v>
      </c>
      <c r="N176" s="141"/>
    </row>
    <row r="177" spans="2:14" ht="90">
      <c r="B177" s="6" t="s">
        <v>585</v>
      </c>
      <c r="C177" s="21" t="s">
        <v>586</v>
      </c>
      <c r="D177" s="4" t="s">
        <v>587</v>
      </c>
      <c r="E177" s="10">
        <v>44761</v>
      </c>
      <c r="F177" s="40" t="s">
        <v>588</v>
      </c>
      <c r="G177" s="110" t="s">
        <v>589</v>
      </c>
      <c r="H177" s="110"/>
      <c r="I177" s="94"/>
      <c r="J177" s="73"/>
      <c r="K177" s="51"/>
      <c r="L177" s="11">
        <f>5500+5500+5500+5500+5500+5500+5500+5500+5500+5500+5500+5500+5500+5500+5500+5500+5500</f>
        <v>93500</v>
      </c>
      <c r="M177" s="30" t="s">
        <v>131</v>
      </c>
      <c r="N177" s="141"/>
    </row>
    <row r="178" spans="2:14" ht="105">
      <c r="B178" s="6" t="s">
        <v>477</v>
      </c>
      <c r="C178" s="13" t="s">
        <v>478</v>
      </c>
      <c r="D178" s="4" t="s">
        <v>590</v>
      </c>
      <c r="E178" s="112">
        <v>44769</v>
      </c>
      <c r="F178" s="40" t="s">
        <v>591</v>
      </c>
      <c r="G178" s="99" t="s">
        <v>592</v>
      </c>
      <c r="H178" s="32"/>
      <c r="I178" s="103"/>
      <c r="J178" s="73"/>
      <c r="K178" s="51"/>
      <c r="L178" s="51">
        <v>3687.36</v>
      </c>
      <c r="M178" s="30" t="s">
        <v>131</v>
      </c>
      <c r="N178" s="141"/>
    </row>
    <row r="179" spans="2:14" ht="90">
      <c r="B179" s="6" t="s">
        <v>778</v>
      </c>
      <c r="C179" s="21" t="s">
        <v>704</v>
      </c>
      <c r="D179" s="4" t="s">
        <v>602</v>
      </c>
      <c r="E179" s="29">
        <v>44809</v>
      </c>
      <c r="F179" s="40" t="s">
        <v>603</v>
      </c>
      <c r="G179" s="93" t="s">
        <v>604</v>
      </c>
      <c r="H179" s="139"/>
      <c r="I179" s="157"/>
      <c r="J179" s="67"/>
      <c r="K179" s="140"/>
      <c r="L179" s="140">
        <v>6760.16</v>
      </c>
      <c r="M179" s="30" t="s">
        <v>130</v>
      </c>
      <c r="N179" s="141"/>
    </row>
    <row r="180" spans="2:14" ht="45">
      <c r="B180" s="6" t="s">
        <v>135</v>
      </c>
      <c r="C180" s="85" t="s">
        <v>136</v>
      </c>
      <c r="D180" s="4" t="s">
        <v>367</v>
      </c>
      <c r="E180" s="136">
        <v>44827</v>
      </c>
      <c r="F180" s="116" t="s">
        <v>605</v>
      </c>
      <c r="G180" s="110" t="s">
        <v>606</v>
      </c>
      <c r="H180" s="4"/>
      <c r="I180" s="10"/>
      <c r="J180" s="62"/>
      <c r="K180" s="24"/>
      <c r="L180" s="24">
        <f>2831.6+1741.78-115+3473.82+3133.25+2413.19+3240.29+2997.02+3580.86+2354.8+3561.4+126.5+3580.86+3240.29+2053.16+1683.39</f>
        <v>39897.210000000006</v>
      </c>
      <c r="M180" s="30" t="s">
        <v>131</v>
      </c>
      <c r="N180" s="141"/>
    </row>
    <row r="181" spans="2:14" ht="45">
      <c r="B181" s="6" t="s">
        <v>13</v>
      </c>
      <c r="C181" s="13">
        <v>2309220602</v>
      </c>
      <c r="D181" s="4" t="s">
        <v>607</v>
      </c>
      <c r="E181" s="29">
        <v>44838</v>
      </c>
      <c r="F181" s="116" t="s">
        <v>609</v>
      </c>
      <c r="G181" s="93" t="s">
        <v>608</v>
      </c>
      <c r="H181" s="61"/>
      <c r="I181" s="94"/>
      <c r="J181" s="73"/>
      <c r="K181" s="51"/>
      <c r="L181" s="51">
        <v>15757</v>
      </c>
      <c r="M181" s="30" t="s">
        <v>130</v>
      </c>
      <c r="N181" s="141"/>
    </row>
    <row r="182" spans="2:14" ht="120">
      <c r="B182" s="6" t="s">
        <v>451</v>
      </c>
      <c r="C182" s="21" t="s">
        <v>452</v>
      </c>
      <c r="D182" s="4" t="s">
        <v>612</v>
      </c>
      <c r="E182" s="3">
        <v>44868</v>
      </c>
      <c r="F182" s="116" t="s">
        <v>610</v>
      </c>
      <c r="G182" s="4" t="s">
        <v>611</v>
      </c>
      <c r="H182" s="4"/>
      <c r="I182" s="40"/>
      <c r="J182" s="65"/>
      <c r="K182" s="46">
        <v>4089.78</v>
      </c>
      <c r="L182" s="46">
        <f>7481.6+11222.4+11222.4+3740.8+11222.4+3740.8+3740.8+3740.8+11222.4+5267.75+4089.78</f>
        <v>76691.930000000008</v>
      </c>
      <c r="M182" s="1" t="s">
        <v>131</v>
      </c>
      <c r="N182" s="141"/>
    </row>
    <row r="183" spans="2:14" ht="105">
      <c r="B183" s="6" t="s">
        <v>613</v>
      </c>
      <c r="C183" s="13" t="s">
        <v>614</v>
      </c>
      <c r="D183" s="4" t="s">
        <v>615</v>
      </c>
      <c r="E183" s="112">
        <v>44860</v>
      </c>
      <c r="F183" s="1" t="s">
        <v>617</v>
      </c>
      <c r="G183" s="4" t="s">
        <v>616</v>
      </c>
      <c r="H183" s="32"/>
      <c r="I183" s="103"/>
      <c r="J183" s="73"/>
      <c r="K183" s="51"/>
      <c r="L183" s="11">
        <v>5200</v>
      </c>
      <c r="M183" s="30" t="s">
        <v>131</v>
      </c>
      <c r="N183" s="141"/>
    </row>
    <row r="184" spans="2:14" ht="45">
      <c r="B184" s="6" t="s">
        <v>618</v>
      </c>
      <c r="C184" s="13" t="s">
        <v>619</v>
      </c>
      <c r="D184" s="4" t="s">
        <v>620</v>
      </c>
      <c r="E184" s="112">
        <v>44872</v>
      </c>
      <c r="F184" s="1" t="s">
        <v>621</v>
      </c>
      <c r="G184" s="4" t="s">
        <v>622</v>
      </c>
      <c r="H184" s="32"/>
      <c r="I184" s="103"/>
      <c r="J184" s="73"/>
      <c r="K184" s="51"/>
      <c r="L184" s="11">
        <v>27000</v>
      </c>
      <c r="M184" s="30" t="s">
        <v>130</v>
      </c>
      <c r="N184" s="141"/>
    </row>
    <row r="185" spans="2:14" ht="75">
      <c r="B185" s="6" t="s">
        <v>197</v>
      </c>
      <c r="C185" s="21" t="s">
        <v>198</v>
      </c>
      <c r="D185" s="23" t="s">
        <v>199</v>
      </c>
      <c r="E185" s="26">
        <v>44874</v>
      </c>
      <c r="F185" s="56" t="s">
        <v>623</v>
      </c>
      <c r="G185" s="98" t="s">
        <v>626</v>
      </c>
      <c r="H185" s="11"/>
      <c r="I185" s="105"/>
      <c r="J185" s="73"/>
      <c r="K185" s="45"/>
      <c r="L185" s="11">
        <f>3870.94+3991.89</f>
        <v>7862.83</v>
      </c>
      <c r="M185" s="30" t="s">
        <v>131</v>
      </c>
      <c r="N185" s="141"/>
    </row>
    <row r="186" spans="2:14" ht="60">
      <c r="B186" s="6" t="s">
        <v>627</v>
      </c>
      <c r="C186" s="21" t="s">
        <v>628</v>
      </c>
      <c r="D186" s="4" t="s">
        <v>579</v>
      </c>
      <c r="E186" s="29">
        <v>44874</v>
      </c>
      <c r="F186" s="40" t="s">
        <v>580</v>
      </c>
      <c r="G186" s="93" t="s">
        <v>581</v>
      </c>
      <c r="H186" s="61"/>
      <c r="I186" s="94"/>
      <c r="J186" s="73"/>
      <c r="K186" s="51"/>
      <c r="L186" s="158">
        <v>209.3</v>
      </c>
      <c r="M186" s="30" t="s">
        <v>130</v>
      </c>
      <c r="N186" s="141"/>
    </row>
    <row r="187" spans="2:14" ht="90">
      <c r="B187" s="6" t="s">
        <v>778</v>
      </c>
      <c r="C187" s="21" t="s">
        <v>704</v>
      </c>
      <c r="D187" s="4" t="s">
        <v>629</v>
      </c>
      <c r="E187" s="29">
        <v>44883</v>
      </c>
      <c r="F187" s="40" t="s">
        <v>630</v>
      </c>
      <c r="G187" s="93" t="s">
        <v>631</v>
      </c>
      <c r="H187" s="61"/>
      <c r="I187" s="94"/>
      <c r="J187" s="73"/>
      <c r="K187" s="51"/>
      <c r="L187" s="51">
        <v>2458.2399999999998</v>
      </c>
      <c r="M187" s="30" t="s">
        <v>131</v>
      </c>
      <c r="N187" s="141"/>
    </row>
    <row r="188" spans="2:14" ht="60">
      <c r="B188" s="6" t="s">
        <v>632</v>
      </c>
      <c r="C188" s="21" t="s">
        <v>633</v>
      </c>
      <c r="D188" s="4" t="s">
        <v>634</v>
      </c>
      <c r="E188" s="26" t="s">
        <v>673</v>
      </c>
      <c r="F188" s="40" t="s">
        <v>674</v>
      </c>
      <c r="G188" s="93" t="s">
        <v>675</v>
      </c>
      <c r="H188" s="30"/>
      <c r="I188" s="94"/>
      <c r="J188" s="73"/>
      <c r="K188" s="51"/>
      <c r="L188" s="51">
        <f>1666+1666+1666+1666</f>
        <v>6664</v>
      </c>
      <c r="M188" s="30" t="s">
        <v>131</v>
      </c>
      <c r="N188" s="141"/>
    </row>
    <row r="189" spans="2:14" ht="90">
      <c r="B189" s="6" t="s">
        <v>635</v>
      </c>
      <c r="C189" s="21" t="s">
        <v>636</v>
      </c>
      <c r="D189" s="4" t="s">
        <v>637</v>
      </c>
      <c r="E189" s="3">
        <v>44917</v>
      </c>
      <c r="F189" s="4" t="s">
        <v>638</v>
      </c>
      <c r="G189" s="4" t="s">
        <v>639</v>
      </c>
      <c r="H189" s="61"/>
      <c r="I189" s="94"/>
      <c r="J189" s="73"/>
      <c r="K189" s="51"/>
      <c r="L189" s="51">
        <v>1438.07</v>
      </c>
      <c r="M189" s="30" t="s">
        <v>131</v>
      </c>
      <c r="N189" s="141"/>
    </row>
    <row r="190" spans="2:14" ht="45">
      <c r="B190" s="6" t="s">
        <v>110</v>
      </c>
      <c r="C190" s="13" t="s">
        <v>459</v>
      </c>
      <c r="D190" s="4" t="s">
        <v>460</v>
      </c>
      <c r="E190" s="3">
        <v>44917</v>
      </c>
      <c r="F190" s="4" t="s">
        <v>640</v>
      </c>
      <c r="G190" s="36" t="s">
        <v>641</v>
      </c>
      <c r="H190" s="139" t="s">
        <v>961</v>
      </c>
      <c r="I190" s="157">
        <v>45505</v>
      </c>
      <c r="J190" s="67" t="s">
        <v>927</v>
      </c>
      <c r="K190" s="140">
        <v>6650</v>
      </c>
      <c r="L190" s="140">
        <f>6650+6650+6650+6650+6650</f>
        <v>33250</v>
      </c>
      <c r="M190" s="30" t="s">
        <v>131</v>
      </c>
      <c r="N190" s="2" t="s">
        <v>960</v>
      </c>
    </row>
    <row r="191" spans="2:14" ht="105">
      <c r="B191" s="6" t="s">
        <v>677</v>
      </c>
      <c r="C191" s="21" t="s">
        <v>679</v>
      </c>
      <c r="D191" s="4" t="s">
        <v>678</v>
      </c>
      <c r="E191" s="10" t="s">
        <v>813</v>
      </c>
      <c r="F191" s="40" t="s">
        <v>814</v>
      </c>
      <c r="G191" s="93" t="s">
        <v>377</v>
      </c>
      <c r="H191" s="61"/>
      <c r="I191" s="94"/>
      <c r="J191" s="73"/>
      <c r="K191" s="51">
        <f>2637.29+2638.53</f>
        <v>5275.82</v>
      </c>
      <c r="L191" s="57">
        <f>23035.53+24368.94+24944.65+2637.69+2638.46+2636.07+2637.76+2637.76+2637.29+2638.53</f>
        <v>90812.68</v>
      </c>
      <c r="M191" s="30" t="s">
        <v>130</v>
      </c>
      <c r="N191" s="141"/>
    </row>
    <row r="192" spans="2:14" ht="240">
      <c r="B192" s="6" t="s">
        <v>642</v>
      </c>
      <c r="C192" s="12">
        <v>12079170150</v>
      </c>
      <c r="D192" s="4" t="s">
        <v>643</v>
      </c>
      <c r="E192" s="3">
        <v>44927</v>
      </c>
      <c r="F192" s="10" t="s">
        <v>644</v>
      </c>
      <c r="G192" s="4" t="s">
        <v>645</v>
      </c>
      <c r="H192" s="4"/>
      <c r="I192" s="40"/>
      <c r="J192" s="65"/>
      <c r="K192" s="48"/>
      <c r="L192" s="19"/>
      <c r="M192" s="30" t="s">
        <v>130</v>
      </c>
      <c r="N192" s="141"/>
    </row>
    <row r="193" spans="2:14" ht="195">
      <c r="B193" s="6" t="s">
        <v>646</v>
      </c>
      <c r="C193" s="21" t="s">
        <v>647</v>
      </c>
      <c r="D193" s="4" t="s">
        <v>734</v>
      </c>
      <c r="E193" s="3">
        <v>44937</v>
      </c>
      <c r="F193" s="10" t="s">
        <v>648</v>
      </c>
      <c r="G193" s="4" t="s">
        <v>649</v>
      </c>
      <c r="H193" s="4" t="s">
        <v>926</v>
      </c>
      <c r="I193" s="40">
        <v>45475</v>
      </c>
      <c r="J193" s="65" t="s">
        <v>927</v>
      </c>
      <c r="K193" s="140">
        <v>6140.69</v>
      </c>
      <c r="L193" s="140">
        <v>6140.69</v>
      </c>
      <c r="M193" s="30" t="s">
        <v>131</v>
      </c>
      <c r="N193" s="141"/>
    </row>
    <row r="194" spans="2:14" ht="120">
      <c r="B194" s="6" t="s">
        <v>650</v>
      </c>
      <c r="C194" s="21" t="s">
        <v>651</v>
      </c>
      <c r="D194" s="4" t="s">
        <v>652</v>
      </c>
      <c r="E194" s="3">
        <v>44937</v>
      </c>
      <c r="F194" s="10" t="s">
        <v>653</v>
      </c>
      <c r="G194" s="4" t="s">
        <v>654</v>
      </c>
      <c r="H194" s="4"/>
      <c r="I194" s="40"/>
      <c r="J194" s="65"/>
      <c r="K194" s="140"/>
      <c r="L194" s="140">
        <f>4916.48+2583.53</f>
        <v>7500.01</v>
      </c>
      <c r="M194" s="30" t="s">
        <v>131</v>
      </c>
      <c r="N194" s="141"/>
    </row>
    <row r="195" spans="2:14" ht="45">
      <c r="B195" s="6" t="s">
        <v>655</v>
      </c>
      <c r="C195" s="21" t="s">
        <v>656</v>
      </c>
      <c r="D195" s="4" t="s">
        <v>657</v>
      </c>
      <c r="E195" s="3">
        <v>44848</v>
      </c>
      <c r="F195" s="10" t="s">
        <v>658</v>
      </c>
      <c r="G195" s="4" t="s">
        <v>659</v>
      </c>
      <c r="H195" s="4"/>
      <c r="I195" s="40"/>
      <c r="J195" s="65"/>
      <c r="K195" s="142"/>
      <c r="L195" s="142">
        <v>3712.8</v>
      </c>
      <c r="M195" s="30" t="s">
        <v>131</v>
      </c>
      <c r="N195" s="141"/>
    </row>
    <row r="196" spans="2:14" ht="75">
      <c r="B196" s="6" t="s">
        <v>408</v>
      </c>
      <c r="C196" s="12">
        <v>12866070159</v>
      </c>
      <c r="D196" s="4" t="s">
        <v>660</v>
      </c>
      <c r="E196" s="26">
        <v>44641</v>
      </c>
      <c r="F196" s="40" t="s">
        <v>661</v>
      </c>
      <c r="G196" s="4" t="s">
        <v>662</v>
      </c>
      <c r="H196" s="11"/>
      <c r="I196" s="105"/>
      <c r="J196" s="73"/>
      <c r="K196" s="45"/>
      <c r="L196" s="45">
        <v>266.76</v>
      </c>
      <c r="M196" s="30" t="s">
        <v>131</v>
      </c>
      <c r="N196" s="141"/>
    </row>
    <row r="197" spans="2:14" ht="90">
      <c r="B197" s="6" t="s">
        <v>408</v>
      </c>
      <c r="C197" s="12">
        <v>12866070159</v>
      </c>
      <c r="D197" s="4" t="s">
        <v>663</v>
      </c>
      <c r="E197" s="26">
        <v>44953</v>
      </c>
      <c r="F197" s="40" t="s">
        <v>664</v>
      </c>
      <c r="G197" s="4" t="s">
        <v>665</v>
      </c>
      <c r="H197" s="11"/>
      <c r="I197" s="105"/>
      <c r="J197" s="73"/>
      <c r="K197" s="45"/>
      <c r="L197" s="45">
        <f>399+1724.3</f>
        <v>2123.3000000000002</v>
      </c>
      <c r="M197" s="30" t="s">
        <v>131</v>
      </c>
      <c r="N197" s="141"/>
    </row>
    <row r="198" spans="2:14" ht="30">
      <c r="B198" s="6" t="s">
        <v>666</v>
      </c>
      <c r="C198" s="21" t="s">
        <v>523</v>
      </c>
      <c r="D198" s="4" t="s">
        <v>846</v>
      </c>
      <c r="E198" s="3">
        <v>44949</v>
      </c>
      <c r="F198" s="3" t="s">
        <v>667</v>
      </c>
      <c r="G198" s="4" t="s">
        <v>29</v>
      </c>
      <c r="H198" s="11"/>
      <c r="I198" s="105"/>
      <c r="J198" s="73"/>
      <c r="K198" s="45"/>
      <c r="L198" s="45"/>
      <c r="M198" s="30" t="s">
        <v>130</v>
      </c>
      <c r="N198" s="141"/>
    </row>
    <row r="199" spans="2:14" ht="255">
      <c r="B199" s="6" t="s">
        <v>613</v>
      </c>
      <c r="C199" s="13" t="s">
        <v>614</v>
      </c>
      <c r="D199" s="4" t="s">
        <v>668</v>
      </c>
      <c r="E199" s="112">
        <v>44972</v>
      </c>
      <c r="F199" s="1" t="s">
        <v>669</v>
      </c>
      <c r="G199" s="4" t="s">
        <v>616</v>
      </c>
      <c r="H199" s="32"/>
      <c r="I199" s="105"/>
      <c r="J199" s="73"/>
      <c r="K199" s="45"/>
      <c r="L199" s="45">
        <v>5200</v>
      </c>
      <c r="M199" s="30" t="s">
        <v>131</v>
      </c>
      <c r="N199" s="141"/>
    </row>
    <row r="200" spans="2:14" ht="105">
      <c r="B200" s="6" t="s">
        <v>477</v>
      </c>
      <c r="C200" s="13" t="s">
        <v>478</v>
      </c>
      <c r="D200" s="4" t="s">
        <v>670</v>
      </c>
      <c r="E200" s="112">
        <v>44972</v>
      </c>
      <c r="F200" s="1" t="s">
        <v>671</v>
      </c>
      <c r="G200" s="99" t="s">
        <v>672</v>
      </c>
      <c r="H200" s="11"/>
      <c r="I200" s="105"/>
      <c r="J200" s="73"/>
      <c r="K200" s="45"/>
      <c r="L200" s="45">
        <v>1229.1199999999999</v>
      </c>
      <c r="M200" s="30" t="s">
        <v>131</v>
      </c>
      <c r="N200" s="141"/>
    </row>
    <row r="201" spans="2:14" ht="75">
      <c r="B201" s="6" t="s">
        <v>378</v>
      </c>
      <c r="C201" s="21" t="s">
        <v>382</v>
      </c>
      <c r="D201" s="4" t="s">
        <v>747</v>
      </c>
      <c r="E201" s="29">
        <v>44980</v>
      </c>
      <c r="F201" s="40" t="s">
        <v>537</v>
      </c>
      <c r="G201" s="93" t="s">
        <v>538</v>
      </c>
      <c r="H201" s="61"/>
      <c r="I201" s="94"/>
      <c r="J201" s="73"/>
      <c r="K201" s="51"/>
      <c r="L201" s="57">
        <v>522</v>
      </c>
      <c r="M201" s="30" t="s">
        <v>130</v>
      </c>
      <c r="N201" s="141"/>
    </row>
    <row r="202" spans="2:14" ht="60">
      <c r="B202" s="6" t="s">
        <v>683</v>
      </c>
      <c r="C202" s="21" t="s">
        <v>684</v>
      </c>
      <c r="D202" s="4" t="s">
        <v>685</v>
      </c>
      <c r="E202" s="29">
        <v>44999</v>
      </c>
      <c r="F202" s="40" t="s">
        <v>686</v>
      </c>
      <c r="G202" s="99" t="s">
        <v>687</v>
      </c>
      <c r="H202" s="61"/>
      <c r="I202" s="94"/>
      <c r="J202" s="73"/>
      <c r="K202" s="51"/>
      <c r="L202" s="57"/>
      <c r="M202" s="30" t="s">
        <v>130</v>
      </c>
      <c r="N202" s="141"/>
    </row>
    <row r="203" spans="2:14" ht="135">
      <c r="B203" s="6" t="s">
        <v>646</v>
      </c>
      <c r="C203" s="21" t="s">
        <v>647</v>
      </c>
      <c r="D203" s="4" t="s">
        <v>688</v>
      </c>
      <c r="E203" s="29">
        <v>44999</v>
      </c>
      <c r="F203" s="40" t="s">
        <v>689</v>
      </c>
      <c r="G203" s="99" t="s">
        <v>690</v>
      </c>
      <c r="H203" s="4" t="s">
        <v>928</v>
      </c>
      <c r="I203" s="40">
        <v>45475</v>
      </c>
      <c r="J203" s="65" t="s">
        <v>927</v>
      </c>
      <c r="K203" s="140">
        <v>6140.69</v>
      </c>
      <c r="L203" s="140">
        <v>6140.69</v>
      </c>
      <c r="M203" s="30" t="s">
        <v>131</v>
      </c>
      <c r="N203" s="141"/>
    </row>
    <row r="204" spans="2:14" ht="75">
      <c r="B204" s="6" t="s">
        <v>378</v>
      </c>
      <c r="C204" s="21" t="s">
        <v>382</v>
      </c>
      <c r="D204" s="4" t="s">
        <v>691</v>
      </c>
      <c r="E204" s="29">
        <v>45014</v>
      </c>
      <c r="F204" s="40" t="s">
        <v>692</v>
      </c>
      <c r="G204" s="93" t="s">
        <v>538</v>
      </c>
      <c r="H204" s="61"/>
      <c r="I204" s="94"/>
      <c r="J204" s="73"/>
      <c r="K204" s="51"/>
      <c r="L204" s="57">
        <f>522+2080</f>
        <v>2602</v>
      </c>
      <c r="M204" s="30" t="s">
        <v>131</v>
      </c>
      <c r="N204" s="141"/>
    </row>
    <row r="205" spans="2:14" ht="45">
      <c r="B205" s="6" t="s">
        <v>731</v>
      </c>
      <c r="C205" s="21" t="s">
        <v>153</v>
      </c>
      <c r="D205" s="4" t="s">
        <v>695</v>
      </c>
      <c r="E205" s="10">
        <v>45028</v>
      </c>
      <c r="F205" s="40" t="s">
        <v>694</v>
      </c>
      <c r="G205" s="32">
        <v>20000</v>
      </c>
      <c r="H205" s="110"/>
      <c r="I205" s="103"/>
      <c r="J205" s="73"/>
      <c r="K205" s="51"/>
      <c r="L205" s="11">
        <f>6666.66+6666.66+6666.67</f>
        <v>19999.989999999998</v>
      </c>
      <c r="M205" s="30" t="s">
        <v>131</v>
      </c>
      <c r="N205" s="141"/>
    </row>
    <row r="206" spans="2:14" ht="60">
      <c r="B206" s="6" t="s">
        <v>477</v>
      </c>
      <c r="C206" s="13" t="s">
        <v>478</v>
      </c>
      <c r="D206" s="4" t="s">
        <v>697</v>
      </c>
      <c r="E206" s="112">
        <v>45037</v>
      </c>
      <c r="F206" s="40" t="s">
        <v>547</v>
      </c>
      <c r="G206" s="5" t="s">
        <v>698</v>
      </c>
      <c r="H206" s="11" t="s">
        <v>937</v>
      </c>
      <c r="I206" s="105">
        <v>45485</v>
      </c>
      <c r="J206" s="73" t="s">
        <v>927</v>
      </c>
      <c r="K206" s="45">
        <v>6760.16</v>
      </c>
      <c r="L206" s="45">
        <v>6760.16</v>
      </c>
      <c r="M206" s="30" t="s">
        <v>131</v>
      </c>
      <c r="N206" s="141"/>
    </row>
    <row r="207" spans="2:14" ht="105">
      <c r="B207" s="6" t="s">
        <v>700</v>
      </c>
      <c r="C207" s="145" t="s">
        <v>699</v>
      </c>
      <c r="D207" s="146" t="s">
        <v>701</v>
      </c>
      <c r="E207" s="147">
        <v>44690</v>
      </c>
      <c r="F207" s="148" t="s">
        <v>702</v>
      </c>
      <c r="G207" s="148" t="s">
        <v>703</v>
      </c>
      <c r="H207" s="149"/>
      <c r="I207" s="150"/>
      <c r="J207" s="149"/>
      <c r="K207" s="151"/>
      <c r="L207" s="152">
        <v>4040.6</v>
      </c>
      <c r="M207" s="1" t="s">
        <v>131</v>
      </c>
      <c r="N207" s="141"/>
    </row>
    <row r="208" spans="2:14" ht="120">
      <c r="B208" s="6" t="s">
        <v>778</v>
      </c>
      <c r="C208" s="21" t="s">
        <v>704</v>
      </c>
      <c r="D208" s="4" t="s">
        <v>705</v>
      </c>
      <c r="E208" s="29">
        <v>45063</v>
      </c>
      <c r="F208" s="40" t="s">
        <v>706</v>
      </c>
      <c r="G208" s="93" t="s">
        <v>707</v>
      </c>
      <c r="H208" s="61"/>
      <c r="I208" s="94"/>
      <c r="J208" s="73"/>
      <c r="K208" s="51"/>
      <c r="L208" s="51">
        <f>17905.61+39089.71</f>
        <v>56995.32</v>
      </c>
      <c r="M208" s="30" t="s">
        <v>131</v>
      </c>
      <c r="N208" s="141"/>
    </row>
    <row r="209" spans="2:15" ht="60">
      <c r="B209" s="6" t="s">
        <v>778</v>
      </c>
      <c r="C209" s="21" t="s">
        <v>704</v>
      </c>
      <c r="D209" s="4" t="s">
        <v>708</v>
      </c>
      <c r="E209" s="29">
        <v>45084</v>
      </c>
      <c r="F209" s="40" t="s">
        <v>706</v>
      </c>
      <c r="G209" s="93" t="s">
        <v>709</v>
      </c>
      <c r="H209" s="61"/>
      <c r="I209" s="94"/>
      <c r="J209" s="73"/>
      <c r="K209" s="51"/>
      <c r="L209" s="51">
        <v>18436.8</v>
      </c>
      <c r="M209" s="30" t="s">
        <v>131</v>
      </c>
      <c r="N209" s="141"/>
    </row>
    <row r="210" spans="2:15" ht="105">
      <c r="B210" s="6" t="s">
        <v>613</v>
      </c>
      <c r="C210" s="13" t="s">
        <v>614</v>
      </c>
      <c r="D210" s="4" t="s">
        <v>710</v>
      </c>
      <c r="E210" s="112">
        <v>45084</v>
      </c>
      <c r="F210" s="1" t="s">
        <v>772</v>
      </c>
      <c r="G210" s="4" t="s">
        <v>711</v>
      </c>
      <c r="H210" s="61"/>
      <c r="I210" s="94"/>
      <c r="J210" s="73"/>
      <c r="K210" s="51"/>
      <c r="L210" s="51">
        <v>3120</v>
      </c>
      <c r="M210" s="167" t="s">
        <v>131</v>
      </c>
      <c r="N210" s="141"/>
    </row>
    <row r="211" spans="2:15" ht="135">
      <c r="B211" s="6" t="s">
        <v>93</v>
      </c>
      <c r="C211" s="21" t="s">
        <v>712</v>
      </c>
      <c r="D211" s="4" t="s">
        <v>713</v>
      </c>
      <c r="E211" s="154">
        <v>45084</v>
      </c>
      <c r="F211" s="116" t="s">
        <v>717</v>
      </c>
      <c r="G211" s="40" t="s">
        <v>714</v>
      </c>
      <c r="H211" s="88"/>
      <c r="I211" s="3"/>
      <c r="J211" s="62"/>
      <c r="K211" s="47"/>
      <c r="L211" s="11">
        <v>1200</v>
      </c>
      <c r="M211" s="30" t="s">
        <v>131</v>
      </c>
      <c r="N211" s="141"/>
    </row>
    <row r="212" spans="2:15" ht="120">
      <c r="B212" s="6" t="s">
        <v>13</v>
      </c>
      <c r="C212" s="13">
        <v>2309220602</v>
      </c>
      <c r="D212" s="4" t="s">
        <v>716</v>
      </c>
      <c r="E212" s="29">
        <v>45093</v>
      </c>
      <c r="F212" s="116" t="s">
        <v>717</v>
      </c>
      <c r="G212" s="93" t="s">
        <v>718</v>
      </c>
      <c r="H212" s="61"/>
      <c r="I212" s="94"/>
      <c r="J212" s="73"/>
      <c r="K212" s="51"/>
      <c r="L212" s="57"/>
      <c r="M212" s="30" t="s">
        <v>130</v>
      </c>
      <c r="N212" s="141"/>
    </row>
    <row r="213" spans="2:15" ht="45">
      <c r="B213" s="6" t="s">
        <v>719</v>
      </c>
      <c r="C213" s="13" t="s">
        <v>720</v>
      </c>
      <c r="D213" s="4" t="s">
        <v>721</v>
      </c>
      <c r="E213" s="29">
        <v>45104</v>
      </c>
      <c r="F213" s="116" t="s">
        <v>722</v>
      </c>
      <c r="G213" s="40" t="s">
        <v>723</v>
      </c>
      <c r="H213" s="61"/>
      <c r="I213" s="94"/>
      <c r="J213" s="73"/>
      <c r="K213" s="51">
        <f>3983.98+3983.98+3983.98</f>
        <v>11951.94</v>
      </c>
      <c r="L213" s="51">
        <f>3983.98+3983.98+3983.98+3983.98+3983.98+3983.98+3983.98+3983.98+3983.98+3983.98+3983.98+3983.98+3983.98</f>
        <v>51791.740000000013</v>
      </c>
      <c r="M213" s="30" t="s">
        <v>130</v>
      </c>
      <c r="N213" s="141"/>
    </row>
    <row r="214" spans="2:15" ht="90">
      <c r="B214" s="6" t="s">
        <v>724</v>
      </c>
      <c r="C214" s="13" t="s">
        <v>725</v>
      </c>
      <c r="D214" s="4" t="s">
        <v>726</v>
      </c>
      <c r="E214" s="29">
        <v>45091</v>
      </c>
      <c r="F214" s="116" t="s">
        <v>727</v>
      </c>
      <c r="G214" s="40" t="s">
        <v>728</v>
      </c>
      <c r="H214" s="61"/>
      <c r="I214" s="94"/>
      <c r="J214" s="73"/>
      <c r="K214" s="51"/>
      <c r="L214" s="57">
        <f>1220+1020+1077.5</f>
        <v>3317.5</v>
      </c>
      <c r="M214" s="30" t="s">
        <v>130</v>
      </c>
      <c r="N214" s="141"/>
    </row>
    <row r="215" spans="2:15" ht="180">
      <c r="B215" s="6" t="s">
        <v>93</v>
      </c>
      <c r="C215" s="21" t="s">
        <v>712</v>
      </c>
      <c r="D215" s="4" t="s">
        <v>729</v>
      </c>
      <c r="E215" s="154">
        <v>45112</v>
      </c>
      <c r="F215" s="116" t="s">
        <v>717</v>
      </c>
      <c r="G215" s="40" t="s">
        <v>730</v>
      </c>
      <c r="H215" s="88"/>
      <c r="I215" s="3"/>
      <c r="J215" s="62"/>
      <c r="K215" s="47"/>
      <c r="L215" s="11">
        <f>2295.75+900+962.25+900</f>
        <v>5058</v>
      </c>
      <c r="M215" s="30" t="s">
        <v>131</v>
      </c>
      <c r="N215" s="141"/>
    </row>
    <row r="216" spans="2:15" ht="45">
      <c r="B216" s="6" t="s">
        <v>16</v>
      </c>
      <c r="C216" s="12">
        <v>1699520159</v>
      </c>
      <c r="D216" s="25" t="s">
        <v>735</v>
      </c>
      <c r="E216" s="29">
        <v>44988</v>
      </c>
      <c r="F216" s="116" t="s">
        <v>736</v>
      </c>
      <c r="G216" s="155" t="s">
        <v>737</v>
      </c>
      <c r="H216" s="61"/>
      <c r="I216" s="94"/>
      <c r="J216" s="73"/>
      <c r="K216" s="51"/>
      <c r="L216" s="57">
        <v>5000</v>
      </c>
      <c r="M216" s="97" t="s">
        <v>131</v>
      </c>
      <c r="N216" s="141"/>
    </row>
    <row r="217" spans="2:15" ht="135">
      <c r="B217" s="6" t="s">
        <v>861</v>
      </c>
      <c r="C217" s="21" t="s">
        <v>738</v>
      </c>
      <c r="D217" s="25" t="s">
        <v>739</v>
      </c>
      <c r="E217" s="29">
        <v>45139</v>
      </c>
      <c r="F217" s="116" t="s">
        <v>740</v>
      </c>
      <c r="G217" s="156" t="s">
        <v>741</v>
      </c>
      <c r="H217" s="61"/>
      <c r="I217" s="94"/>
      <c r="J217" s="73"/>
      <c r="K217" s="51"/>
      <c r="L217" s="57"/>
      <c r="M217" s="97" t="s">
        <v>130</v>
      </c>
      <c r="N217" s="2" t="s">
        <v>765</v>
      </c>
    </row>
    <row r="218" spans="2:15" ht="60">
      <c r="B218" s="6" t="s">
        <v>805</v>
      </c>
      <c r="C218" s="21" t="s">
        <v>749</v>
      </c>
      <c r="D218" s="25" t="s">
        <v>748</v>
      </c>
      <c r="E218" s="29">
        <v>45182</v>
      </c>
      <c r="F218" s="51">
        <f>1309.97+3252.35</f>
        <v>4562.32</v>
      </c>
      <c r="G218" s="155" t="s">
        <v>750</v>
      </c>
      <c r="H218" s="61"/>
      <c r="I218" s="94"/>
      <c r="J218" s="73"/>
      <c r="K218" s="51">
        <f>2746.43+3152.97+1535.83</f>
        <v>7435.23</v>
      </c>
      <c r="L218" s="51">
        <f>1309.97+3252.35+3044.56+1788.79+3252.35+2791.6+2954.22+2746.43+3261.38+2746.43+3152.97+1535.83</f>
        <v>31836.880000000005</v>
      </c>
      <c r="M218" s="97" t="s">
        <v>130</v>
      </c>
      <c r="N218" s="2" t="s">
        <v>764</v>
      </c>
    </row>
    <row r="219" spans="2:15" ht="54.75" customHeight="1">
      <c r="B219" s="6" t="s">
        <v>356</v>
      </c>
      <c r="C219" s="21" t="s">
        <v>357</v>
      </c>
      <c r="D219" s="4" t="s">
        <v>358</v>
      </c>
      <c r="E219" s="26" t="s">
        <v>758</v>
      </c>
      <c r="F219" s="26" t="s">
        <v>753</v>
      </c>
      <c r="G219" s="156" t="s">
        <v>754</v>
      </c>
      <c r="H219" s="61"/>
      <c r="I219" s="94"/>
      <c r="J219" s="73"/>
      <c r="K219" s="51"/>
      <c r="L219" s="57">
        <f>903.19+903.19</f>
        <v>1806.38</v>
      </c>
      <c r="M219" s="30" t="s">
        <v>131</v>
      </c>
      <c r="N219" s="2" t="s">
        <v>757</v>
      </c>
      <c r="O219" s="173"/>
    </row>
    <row r="220" spans="2:15" ht="60">
      <c r="B220" s="6" t="s">
        <v>432</v>
      </c>
      <c r="C220" s="12" t="s">
        <v>433</v>
      </c>
      <c r="D220" s="4" t="s">
        <v>759</v>
      </c>
      <c r="E220" s="29">
        <v>45211</v>
      </c>
      <c r="F220" s="40" t="s">
        <v>761</v>
      </c>
      <c r="G220" s="156" t="s">
        <v>760</v>
      </c>
      <c r="H220" s="61"/>
      <c r="I220" s="94"/>
      <c r="J220" s="73"/>
      <c r="K220" s="51"/>
      <c r="L220" s="57"/>
      <c r="M220" s="97" t="s">
        <v>130</v>
      </c>
      <c r="N220" s="2" t="s">
        <v>762</v>
      </c>
    </row>
    <row r="221" spans="2:15" ht="45">
      <c r="B221" s="6" t="s">
        <v>477</v>
      </c>
      <c r="C221" s="13" t="s">
        <v>478</v>
      </c>
      <c r="D221" s="4" t="s">
        <v>745</v>
      </c>
      <c r="E221" s="112">
        <v>45215</v>
      </c>
      <c r="F221" s="40" t="s">
        <v>547</v>
      </c>
      <c r="G221" s="5" t="s">
        <v>746</v>
      </c>
      <c r="H221" s="11"/>
      <c r="I221" s="105"/>
      <c r="J221" s="73"/>
      <c r="K221" s="45"/>
      <c r="L221" s="45"/>
      <c r="M221" s="30" t="s">
        <v>130</v>
      </c>
      <c r="N221" s="2" t="s">
        <v>763</v>
      </c>
    </row>
    <row r="222" spans="2:15" ht="135">
      <c r="B222" s="6" t="s">
        <v>767</v>
      </c>
      <c r="C222" s="21" t="s">
        <v>766</v>
      </c>
      <c r="D222" s="4" t="s">
        <v>768</v>
      </c>
      <c r="E222" s="3">
        <v>45238</v>
      </c>
      <c r="F222" s="1" t="s">
        <v>706</v>
      </c>
      <c r="G222" s="4" t="s">
        <v>769</v>
      </c>
      <c r="H222" s="139"/>
      <c r="I222" s="139"/>
      <c r="J222" s="67"/>
      <c r="K222" s="140"/>
      <c r="L222" s="141"/>
      <c r="M222" s="30" t="s">
        <v>130</v>
      </c>
      <c r="N222" s="2" t="s">
        <v>770</v>
      </c>
    </row>
    <row r="223" spans="2:15" ht="60">
      <c r="B223" s="6" t="s">
        <v>613</v>
      </c>
      <c r="C223" s="161" t="s">
        <v>614</v>
      </c>
      <c r="D223" s="146" t="s">
        <v>771</v>
      </c>
      <c r="E223" s="162">
        <v>45239</v>
      </c>
      <c r="F223" s="153" t="s">
        <v>772</v>
      </c>
      <c r="G223" s="8" t="s">
        <v>773</v>
      </c>
      <c r="H223" s="163"/>
      <c r="I223" s="164"/>
      <c r="J223" s="165"/>
      <c r="K223" s="166"/>
      <c r="L223" s="166">
        <v>4680</v>
      </c>
      <c r="M223" s="167" t="s">
        <v>131</v>
      </c>
      <c r="N223" s="168" t="s">
        <v>774</v>
      </c>
    </row>
    <row r="224" spans="2:15" ht="75">
      <c r="B224" s="6" t="s">
        <v>778</v>
      </c>
      <c r="C224" s="21" t="s">
        <v>704</v>
      </c>
      <c r="D224" s="4" t="s">
        <v>775</v>
      </c>
      <c r="E224" s="3">
        <v>45243</v>
      </c>
      <c r="F224" s="40" t="s">
        <v>706</v>
      </c>
      <c r="G224" s="93" t="s">
        <v>776</v>
      </c>
      <c r="H224" s="139"/>
      <c r="I224" s="157"/>
      <c r="J224" s="67"/>
      <c r="K224" s="140"/>
      <c r="L224" s="140">
        <v>6145.6</v>
      </c>
      <c r="M224" s="30" t="s">
        <v>130</v>
      </c>
      <c r="N224" s="2" t="s">
        <v>777</v>
      </c>
    </row>
    <row r="225" spans="2:14" ht="75">
      <c r="B225" s="6" t="s">
        <v>197</v>
      </c>
      <c r="C225" s="21" t="s">
        <v>198</v>
      </c>
      <c r="D225" s="4" t="s">
        <v>780</v>
      </c>
      <c r="E225" s="3">
        <v>45243</v>
      </c>
      <c r="F225" s="2" t="s">
        <v>781</v>
      </c>
      <c r="G225" s="4" t="s">
        <v>782</v>
      </c>
      <c r="H225" s="139"/>
      <c r="I225" s="139"/>
      <c r="J225" s="67"/>
      <c r="K225" s="142">
        <f>4211.42+2105.72</f>
        <v>6317.1399999999994</v>
      </c>
      <c r="L225" s="142">
        <f>4211.42+2105.72</f>
        <v>6317.1399999999994</v>
      </c>
      <c r="M225" s="30" t="s">
        <v>130</v>
      </c>
      <c r="N225" s="2" t="s">
        <v>779</v>
      </c>
    </row>
    <row r="226" spans="2:14" ht="60">
      <c r="B226" s="6" t="s">
        <v>220</v>
      </c>
      <c r="C226" s="21" t="s">
        <v>515</v>
      </c>
      <c r="D226" s="4" t="s">
        <v>784</v>
      </c>
      <c r="E226" s="3">
        <v>45239</v>
      </c>
      <c r="F226" s="1" t="s">
        <v>783</v>
      </c>
      <c r="G226" s="155" t="s">
        <v>785</v>
      </c>
      <c r="H226" s="139"/>
      <c r="I226" s="139"/>
      <c r="J226" s="67"/>
      <c r="K226" s="140"/>
      <c r="L226" s="140">
        <v>4700</v>
      </c>
      <c r="M226" s="30" t="s">
        <v>131</v>
      </c>
      <c r="N226" s="2" t="s">
        <v>786</v>
      </c>
    </row>
    <row r="227" spans="2:14" ht="75">
      <c r="B227" s="35" t="s">
        <v>778</v>
      </c>
      <c r="C227" s="21" t="s">
        <v>704</v>
      </c>
      <c r="D227" s="4" t="s">
        <v>787</v>
      </c>
      <c r="E227" s="3">
        <v>45251</v>
      </c>
      <c r="F227" s="40" t="s">
        <v>706</v>
      </c>
      <c r="G227" s="93" t="s">
        <v>788</v>
      </c>
      <c r="H227" s="139"/>
      <c r="I227" s="139"/>
      <c r="J227" s="67"/>
      <c r="K227" s="140"/>
      <c r="L227" s="141"/>
      <c r="M227" s="30" t="s">
        <v>130</v>
      </c>
      <c r="N227" s="2" t="s">
        <v>789</v>
      </c>
    </row>
    <row r="228" spans="2:14" ht="75">
      <c r="B228" s="6" t="s">
        <v>473</v>
      </c>
      <c r="C228" s="13" t="s">
        <v>474</v>
      </c>
      <c r="D228" s="4" t="s">
        <v>793</v>
      </c>
      <c r="E228" s="29">
        <v>45260</v>
      </c>
      <c r="F228" s="40" t="s">
        <v>792</v>
      </c>
      <c r="G228" s="93" t="s">
        <v>791</v>
      </c>
      <c r="H228" s="61"/>
      <c r="I228" s="94"/>
      <c r="J228" s="73"/>
      <c r="K228" s="51"/>
      <c r="L228" s="57">
        <f>10400+288</f>
        <v>10688</v>
      </c>
      <c r="M228" s="30" t="s">
        <v>131</v>
      </c>
      <c r="N228" s="2" t="s">
        <v>790</v>
      </c>
    </row>
    <row r="229" spans="2:14" ht="150">
      <c r="B229" s="6" t="s">
        <v>794</v>
      </c>
      <c r="C229" s="13">
        <v>11514241006</v>
      </c>
      <c r="D229" s="4" t="s">
        <v>887</v>
      </c>
      <c r="E229" s="3">
        <v>45280</v>
      </c>
      <c r="F229" s="4" t="s">
        <v>795</v>
      </c>
      <c r="G229" s="93" t="s">
        <v>796</v>
      </c>
      <c r="H229" s="61"/>
      <c r="I229" s="94"/>
      <c r="J229" s="73"/>
      <c r="K229" s="51"/>
      <c r="L229" s="51">
        <v>2885.76</v>
      </c>
      <c r="M229" s="30" t="s">
        <v>131</v>
      </c>
      <c r="N229" s="2" t="s">
        <v>797</v>
      </c>
    </row>
    <row r="230" spans="2:14" ht="45">
      <c r="B230" s="6" t="s">
        <v>731</v>
      </c>
      <c r="C230" s="21" t="s">
        <v>153</v>
      </c>
      <c r="D230" s="4" t="s">
        <v>583</v>
      </c>
      <c r="E230" s="3">
        <v>45280</v>
      </c>
      <c r="F230" s="40" t="s">
        <v>798</v>
      </c>
      <c r="G230" s="32">
        <v>12000</v>
      </c>
      <c r="H230" s="110"/>
      <c r="I230" s="103"/>
      <c r="J230" s="73"/>
      <c r="K230" s="51"/>
      <c r="L230" s="142">
        <v>12000</v>
      </c>
      <c r="M230" s="30" t="s">
        <v>131</v>
      </c>
      <c r="N230" s="2" t="s">
        <v>799</v>
      </c>
    </row>
    <row r="231" spans="2:14" ht="105">
      <c r="B231" s="6" t="s">
        <v>423</v>
      </c>
      <c r="C231" s="21" t="s">
        <v>186</v>
      </c>
      <c r="D231" s="4" t="s">
        <v>800</v>
      </c>
      <c r="E231" s="27">
        <v>45279</v>
      </c>
      <c r="F231" s="10" t="s">
        <v>424</v>
      </c>
      <c r="G231" s="126" t="s">
        <v>801</v>
      </c>
      <c r="H231" s="76"/>
      <c r="I231" s="94"/>
      <c r="J231" s="73"/>
      <c r="K231" s="51"/>
      <c r="L231" s="51"/>
      <c r="M231" s="30" t="s">
        <v>130</v>
      </c>
      <c r="N231" s="160"/>
    </row>
    <row r="232" spans="2:14" ht="45">
      <c r="B232" s="6" t="s">
        <v>205</v>
      </c>
      <c r="C232" s="12">
        <v>1850570746</v>
      </c>
      <c r="D232" s="4" t="s">
        <v>817</v>
      </c>
      <c r="E232" s="26">
        <v>45294</v>
      </c>
      <c r="F232" s="10" t="s">
        <v>818</v>
      </c>
      <c r="G232" s="58" t="s">
        <v>815</v>
      </c>
      <c r="H232" s="58"/>
      <c r="I232" s="108"/>
      <c r="J232" s="73"/>
      <c r="K232" s="45"/>
      <c r="L232" s="24">
        <v>9750</v>
      </c>
      <c r="M232" s="1" t="s">
        <v>131</v>
      </c>
      <c r="N232" s="97" t="s">
        <v>816</v>
      </c>
    </row>
    <row r="233" spans="2:14" ht="60" customHeight="1">
      <c r="B233" s="6" t="s">
        <v>356</v>
      </c>
      <c r="C233" s="21" t="s">
        <v>357</v>
      </c>
      <c r="D233" s="4" t="s">
        <v>358</v>
      </c>
      <c r="E233" s="26">
        <v>45320</v>
      </c>
      <c r="F233" s="116" t="s">
        <v>819</v>
      </c>
      <c r="G233" s="156" t="s">
        <v>820</v>
      </c>
      <c r="H233" s="61"/>
      <c r="I233" s="94"/>
      <c r="J233" s="73"/>
      <c r="K233" s="51">
        <f>1377.13+1377.13+1377.13</f>
        <v>4131.3900000000003</v>
      </c>
      <c r="L233" s="51">
        <f>1377.13+1377.13+1377.13+1377.13+1377.13+1377.13+1377.13</f>
        <v>9639.91</v>
      </c>
      <c r="M233" s="97" t="s">
        <v>130</v>
      </c>
      <c r="N233" s="2" t="s">
        <v>821</v>
      </c>
    </row>
    <row r="234" spans="2:14" ht="45">
      <c r="B234" s="6" t="s">
        <v>731</v>
      </c>
      <c r="C234" s="21" t="s">
        <v>153</v>
      </c>
      <c r="D234" s="4" t="s">
        <v>695</v>
      </c>
      <c r="E234" s="26">
        <v>45330</v>
      </c>
      <c r="F234" s="40" t="s">
        <v>834</v>
      </c>
      <c r="G234" s="32">
        <v>20000</v>
      </c>
      <c r="H234" s="61"/>
      <c r="I234" s="94"/>
      <c r="J234" s="73"/>
      <c r="K234" s="51">
        <v>5000</v>
      </c>
      <c r="L234" s="57">
        <f>5000+5000+5000</f>
        <v>15000</v>
      </c>
      <c r="M234" s="30" t="s">
        <v>130</v>
      </c>
      <c r="N234" s="2" t="s">
        <v>835</v>
      </c>
    </row>
    <row r="235" spans="2:14" ht="120">
      <c r="B235" s="6" t="s">
        <v>778</v>
      </c>
      <c r="C235" s="21" t="s">
        <v>704</v>
      </c>
      <c r="D235" s="4" t="s">
        <v>822</v>
      </c>
      <c r="E235" s="3">
        <v>45335</v>
      </c>
      <c r="F235" s="40" t="s">
        <v>823</v>
      </c>
      <c r="G235" s="93" t="s">
        <v>824</v>
      </c>
      <c r="H235" s="139"/>
      <c r="I235" s="157"/>
      <c r="J235" s="67"/>
      <c r="K235" s="140"/>
      <c r="L235" s="140">
        <v>6145.6</v>
      </c>
      <c r="M235" s="30" t="s">
        <v>131</v>
      </c>
      <c r="N235" s="2" t="s">
        <v>825</v>
      </c>
    </row>
    <row r="236" spans="2:14" ht="105">
      <c r="B236" s="6" t="s">
        <v>826</v>
      </c>
      <c r="C236" s="21" t="s">
        <v>827</v>
      </c>
      <c r="D236" s="4" t="s">
        <v>828</v>
      </c>
      <c r="E236" s="3">
        <v>45342</v>
      </c>
      <c r="F236" s="1" t="s">
        <v>830</v>
      </c>
      <c r="G236" s="169" t="s">
        <v>829</v>
      </c>
      <c r="H236" s="139"/>
      <c r="I236" s="139"/>
      <c r="J236" s="67"/>
      <c r="K236" s="140"/>
      <c r="L236" s="141"/>
      <c r="M236" s="30" t="s">
        <v>130</v>
      </c>
      <c r="N236" s="2" t="s">
        <v>831</v>
      </c>
    </row>
    <row r="237" spans="2:14" ht="45">
      <c r="B237" s="6" t="s">
        <v>13</v>
      </c>
      <c r="C237" s="21" t="s">
        <v>715</v>
      </c>
      <c r="D237" s="4" t="s">
        <v>850</v>
      </c>
      <c r="E237" s="3">
        <v>45343</v>
      </c>
      <c r="F237" s="1" t="s">
        <v>706</v>
      </c>
      <c r="G237" s="169" t="s">
        <v>832</v>
      </c>
      <c r="H237" s="139"/>
      <c r="I237" s="139"/>
      <c r="J237" s="67"/>
      <c r="K237" s="140"/>
      <c r="L237" s="141"/>
      <c r="M237" s="30" t="s">
        <v>130</v>
      </c>
      <c r="N237" s="2" t="s">
        <v>833</v>
      </c>
    </row>
    <row r="238" spans="2:14" ht="87.75" customHeight="1">
      <c r="B238" s="6" t="s">
        <v>836</v>
      </c>
      <c r="C238" s="21" t="s">
        <v>837</v>
      </c>
      <c r="D238" s="4" t="s">
        <v>838</v>
      </c>
      <c r="E238" s="3">
        <v>45350</v>
      </c>
      <c r="F238" s="1" t="s">
        <v>839</v>
      </c>
      <c r="G238" s="169" t="s">
        <v>841</v>
      </c>
      <c r="H238" s="4" t="s">
        <v>964</v>
      </c>
      <c r="I238" s="174" t="s">
        <v>965</v>
      </c>
      <c r="J238" s="67" t="s">
        <v>927</v>
      </c>
      <c r="K238" s="140">
        <f>5143.44+5143.44+5143.44</f>
        <v>15430.32</v>
      </c>
      <c r="L238" s="140">
        <f>5143.44+5143.44+5143.44+5143.44+5143.44+5143.44+5143.44+5143.44+5143.44</f>
        <v>46290.96</v>
      </c>
      <c r="M238" s="30" t="s">
        <v>130</v>
      </c>
      <c r="N238" s="2" t="s">
        <v>840</v>
      </c>
    </row>
    <row r="239" spans="2:14" ht="60">
      <c r="B239" s="6" t="s">
        <v>13</v>
      </c>
      <c r="C239" s="21" t="s">
        <v>715</v>
      </c>
      <c r="D239" s="4" t="s">
        <v>847</v>
      </c>
      <c r="E239" s="3">
        <v>45393</v>
      </c>
      <c r="F239" s="1" t="s">
        <v>706</v>
      </c>
      <c r="G239" s="169" t="s">
        <v>848</v>
      </c>
      <c r="H239" s="139"/>
      <c r="I239" s="139"/>
      <c r="J239" s="67"/>
      <c r="K239" s="140"/>
      <c r="L239" s="141"/>
      <c r="M239" s="30" t="s">
        <v>130</v>
      </c>
      <c r="N239" s="2" t="s">
        <v>849</v>
      </c>
    </row>
    <row r="240" spans="2:14" ht="75">
      <c r="B240" s="6" t="s">
        <v>778</v>
      </c>
      <c r="C240" s="21" t="s">
        <v>704</v>
      </c>
      <c r="D240" s="4" t="s">
        <v>851</v>
      </c>
      <c r="E240" s="3">
        <v>45405</v>
      </c>
      <c r="F240" s="40" t="s">
        <v>852</v>
      </c>
      <c r="G240" s="93" t="s">
        <v>853</v>
      </c>
      <c r="H240" s="139"/>
      <c r="I240" s="157"/>
      <c r="J240" s="67"/>
      <c r="K240" s="140"/>
      <c r="L240" s="140"/>
      <c r="M240" s="30" t="s">
        <v>130</v>
      </c>
      <c r="N240" s="2" t="s">
        <v>854</v>
      </c>
    </row>
    <row r="241" spans="2:14" ht="75">
      <c r="B241" s="6" t="s">
        <v>93</v>
      </c>
      <c r="C241" s="21" t="s">
        <v>712</v>
      </c>
      <c r="D241" s="4" t="s">
        <v>855</v>
      </c>
      <c r="E241" s="154">
        <v>45419</v>
      </c>
      <c r="F241" s="116" t="s">
        <v>717</v>
      </c>
      <c r="G241" s="40" t="s">
        <v>856</v>
      </c>
      <c r="H241" s="88"/>
      <c r="I241" s="3"/>
      <c r="J241" s="62"/>
      <c r="K241" s="47"/>
      <c r="L241" s="47">
        <v>18000</v>
      </c>
      <c r="M241" s="30" t="s">
        <v>131</v>
      </c>
      <c r="N241" s="140" t="s">
        <v>857</v>
      </c>
    </row>
    <row r="242" spans="2:14" ht="105">
      <c r="B242" s="6" t="s">
        <v>93</v>
      </c>
      <c r="C242" s="21" t="s">
        <v>712</v>
      </c>
      <c r="D242" s="4" t="s">
        <v>858</v>
      </c>
      <c r="E242" s="154">
        <v>45419</v>
      </c>
      <c r="F242" s="116" t="s">
        <v>717</v>
      </c>
      <c r="G242" s="40" t="s">
        <v>859</v>
      </c>
      <c r="H242" s="88"/>
      <c r="I242" s="3"/>
      <c r="J242" s="62"/>
      <c r="K242" s="47"/>
      <c r="L242" s="47"/>
      <c r="M242" s="30" t="s">
        <v>130</v>
      </c>
      <c r="N242" s="140" t="s">
        <v>860</v>
      </c>
    </row>
    <row r="243" spans="2:14" ht="90">
      <c r="B243" s="6" t="s">
        <v>861</v>
      </c>
      <c r="C243" s="21" t="s">
        <v>738</v>
      </c>
      <c r="D243" s="4" t="s">
        <v>862</v>
      </c>
      <c r="E243" s="154">
        <v>45429</v>
      </c>
      <c r="F243" s="116" t="s">
        <v>717</v>
      </c>
      <c r="G243" s="40" t="s">
        <v>863</v>
      </c>
      <c r="H243" s="88"/>
      <c r="I243" s="3"/>
      <c r="J243" s="62"/>
      <c r="K243" s="47"/>
      <c r="L243" s="47">
        <v>3072.8</v>
      </c>
      <c r="M243" s="30" t="s">
        <v>130</v>
      </c>
      <c r="N243" s="140" t="s">
        <v>864</v>
      </c>
    </row>
    <row r="244" spans="2:14" ht="120">
      <c r="B244" s="6" t="s">
        <v>865</v>
      </c>
      <c r="C244" s="21" t="s">
        <v>866</v>
      </c>
      <c r="D244" s="4" t="s">
        <v>867</v>
      </c>
      <c r="E244" s="154">
        <v>45433</v>
      </c>
      <c r="F244" s="116" t="s">
        <v>868</v>
      </c>
      <c r="G244" s="40" t="s">
        <v>878</v>
      </c>
      <c r="H244" s="88"/>
      <c r="I244" s="3"/>
      <c r="J244" s="62"/>
      <c r="K244" s="47">
        <f>2121.6+2121.6+2121.6</f>
        <v>6364.7999999999993</v>
      </c>
      <c r="L244" s="47">
        <f>2121.6+2121.6+3121.6+2121.6</f>
        <v>9486.4</v>
      </c>
      <c r="M244" s="30" t="s">
        <v>130</v>
      </c>
      <c r="N244" s="140" t="s">
        <v>869</v>
      </c>
    </row>
    <row r="245" spans="2:14" ht="135">
      <c r="B245" s="6" t="s">
        <v>872</v>
      </c>
      <c r="C245" s="21">
        <v>12738700157</v>
      </c>
      <c r="D245" s="4" t="s">
        <v>871</v>
      </c>
      <c r="E245" s="3">
        <v>45442</v>
      </c>
      <c r="F245" s="1" t="s">
        <v>873</v>
      </c>
      <c r="G245" s="76" t="s">
        <v>874</v>
      </c>
      <c r="H245" s="139"/>
      <c r="I245" s="139"/>
      <c r="J245" s="67"/>
      <c r="K245" s="140"/>
      <c r="L245" s="175"/>
      <c r="M245" s="30" t="s">
        <v>130</v>
      </c>
      <c r="N245" s="2" t="s">
        <v>875</v>
      </c>
    </row>
    <row r="246" spans="2:14" ht="60">
      <c r="B246" s="6" t="s">
        <v>220</v>
      </c>
      <c r="C246" s="21" t="s">
        <v>515</v>
      </c>
      <c r="D246" s="169" t="s">
        <v>879</v>
      </c>
      <c r="E246" s="3">
        <v>45462</v>
      </c>
      <c r="F246" s="1" t="s">
        <v>882</v>
      </c>
      <c r="G246" s="176" t="s">
        <v>880</v>
      </c>
      <c r="H246" s="139"/>
      <c r="I246" s="139"/>
      <c r="J246" s="67"/>
      <c r="K246" s="140"/>
      <c r="L246" s="175"/>
      <c r="M246" s="141"/>
      <c r="N246" s="141"/>
    </row>
    <row r="247" spans="2:14" ht="60">
      <c r="B247" s="6" t="s">
        <v>220</v>
      </c>
      <c r="C247" s="21" t="s">
        <v>515</v>
      </c>
      <c r="D247" s="169" t="s">
        <v>881</v>
      </c>
      <c r="E247" s="3">
        <v>45462</v>
      </c>
      <c r="F247" s="1" t="s">
        <v>783</v>
      </c>
      <c r="G247" s="176" t="s">
        <v>883</v>
      </c>
      <c r="H247" s="139"/>
      <c r="I247" s="139"/>
      <c r="J247" s="67"/>
      <c r="K247" s="140"/>
      <c r="L247" s="175"/>
      <c r="M247" s="141"/>
      <c r="N247" s="141"/>
    </row>
    <row r="248" spans="2:14" ht="134.25" customHeight="1">
      <c r="B248" s="6" t="s">
        <v>894</v>
      </c>
      <c r="C248" s="21" t="s">
        <v>895</v>
      </c>
      <c r="D248" s="4" t="s">
        <v>100</v>
      </c>
      <c r="E248" s="3">
        <v>45489</v>
      </c>
      <c r="F248" s="169" t="s">
        <v>896</v>
      </c>
      <c r="G248" s="169" t="s">
        <v>897</v>
      </c>
      <c r="H248" s="139"/>
      <c r="I248" s="139"/>
      <c r="J248" s="67"/>
      <c r="K248" s="140"/>
      <c r="L248" s="175"/>
      <c r="M248" s="141"/>
      <c r="N248" s="2" t="s">
        <v>893</v>
      </c>
    </row>
    <row r="249" spans="2:14" ht="60">
      <c r="B249" s="6" t="s">
        <v>826</v>
      </c>
      <c r="C249" s="21" t="s">
        <v>899</v>
      </c>
      <c r="D249" s="4" t="s">
        <v>898</v>
      </c>
      <c r="E249" s="3">
        <v>45489</v>
      </c>
      <c r="F249" s="169" t="s">
        <v>901</v>
      </c>
      <c r="G249" s="4" t="s">
        <v>902</v>
      </c>
      <c r="H249" s="139"/>
      <c r="I249" s="139"/>
      <c r="J249" s="67"/>
      <c r="K249" s="140"/>
      <c r="L249" s="175"/>
      <c r="M249" s="141"/>
      <c r="N249" s="2" t="s">
        <v>900</v>
      </c>
    </row>
    <row r="250" spans="2:14" ht="135">
      <c r="B250" s="6" t="s">
        <v>903</v>
      </c>
      <c r="C250" s="21" t="s">
        <v>459</v>
      </c>
      <c r="D250" s="4" t="s">
        <v>904</v>
      </c>
      <c r="E250" s="3">
        <v>45490</v>
      </c>
      <c r="F250" s="169" t="s">
        <v>905</v>
      </c>
      <c r="G250" s="4" t="s">
        <v>906</v>
      </c>
      <c r="H250" s="139"/>
      <c r="I250" s="139"/>
      <c r="J250" s="67"/>
      <c r="K250" s="140">
        <v>5000</v>
      </c>
      <c r="L250" s="189">
        <v>5000</v>
      </c>
      <c r="M250" s="30" t="s">
        <v>130</v>
      </c>
      <c r="N250" s="2" t="s">
        <v>907</v>
      </c>
    </row>
    <row r="251" spans="2:14" ht="60">
      <c r="B251" s="182" t="s">
        <v>778</v>
      </c>
      <c r="C251" s="183" t="s">
        <v>704</v>
      </c>
      <c r="D251" s="146" t="s">
        <v>908</v>
      </c>
      <c r="E251" s="147">
        <v>45489</v>
      </c>
      <c r="F251" s="184" t="s">
        <v>909</v>
      </c>
      <c r="G251" s="185" t="s">
        <v>910</v>
      </c>
      <c r="H251" s="178"/>
      <c r="I251" s="179"/>
      <c r="J251" s="179"/>
      <c r="K251" s="180"/>
      <c r="L251" s="181"/>
      <c r="M251" s="30" t="s">
        <v>130</v>
      </c>
      <c r="N251" s="168" t="s">
        <v>911</v>
      </c>
    </row>
    <row r="252" spans="2:14" ht="60">
      <c r="B252" s="6" t="s">
        <v>778</v>
      </c>
      <c r="C252" s="21" t="s">
        <v>704</v>
      </c>
      <c r="D252" s="4" t="s">
        <v>912</v>
      </c>
      <c r="E252" s="3">
        <v>45490</v>
      </c>
      <c r="F252" s="116" t="s">
        <v>909</v>
      </c>
      <c r="G252" s="186" t="s">
        <v>913</v>
      </c>
      <c r="H252" s="139" t="s">
        <v>935</v>
      </c>
      <c r="I252" s="3">
        <v>45495</v>
      </c>
      <c r="J252" s="67" t="s">
        <v>927</v>
      </c>
      <c r="K252" s="140">
        <v>6905.52</v>
      </c>
      <c r="L252" s="140">
        <v>6905.52</v>
      </c>
      <c r="M252" s="30" t="s">
        <v>130</v>
      </c>
      <c r="N252" s="2" t="s">
        <v>914</v>
      </c>
    </row>
    <row r="253" spans="2:14" ht="60">
      <c r="B253" s="6" t="s">
        <v>915</v>
      </c>
      <c r="C253" s="21" t="s">
        <v>916</v>
      </c>
      <c r="D253" s="4" t="s">
        <v>917</v>
      </c>
      <c r="E253" s="3">
        <v>45495</v>
      </c>
      <c r="F253" s="116" t="s">
        <v>909</v>
      </c>
      <c r="G253" s="187" t="s">
        <v>918</v>
      </c>
      <c r="H253" s="139"/>
      <c r="I253" s="67"/>
      <c r="J253" s="67"/>
      <c r="K253" s="140">
        <v>1678.02</v>
      </c>
      <c r="L253" s="140">
        <v>1678.02</v>
      </c>
      <c r="M253" s="2" t="s">
        <v>131</v>
      </c>
      <c r="N253" s="2" t="s">
        <v>925</v>
      </c>
    </row>
    <row r="254" spans="2:14" ht="105">
      <c r="B254" s="6" t="s">
        <v>423</v>
      </c>
      <c r="C254" s="21" t="s">
        <v>186</v>
      </c>
      <c r="D254" s="4" t="s">
        <v>919</v>
      </c>
      <c r="E254" s="27">
        <v>45397</v>
      </c>
      <c r="F254" s="10" t="s">
        <v>424</v>
      </c>
      <c r="G254" s="126" t="s">
        <v>920</v>
      </c>
      <c r="H254" s="139"/>
      <c r="I254" s="179"/>
      <c r="J254" s="67"/>
      <c r="K254" s="140"/>
      <c r="L254" s="175"/>
      <c r="M254" s="141"/>
      <c r="N254" s="2"/>
    </row>
    <row r="255" spans="2:14" ht="105">
      <c r="B255" s="6" t="s">
        <v>423</v>
      </c>
      <c r="C255" s="21" t="s">
        <v>186</v>
      </c>
      <c r="D255" s="4" t="s">
        <v>921</v>
      </c>
      <c r="E255" s="27">
        <v>45467</v>
      </c>
      <c r="F255" s="10" t="s">
        <v>424</v>
      </c>
      <c r="G255" s="126" t="s">
        <v>922</v>
      </c>
      <c r="H255" s="139"/>
      <c r="I255" s="179"/>
      <c r="J255" s="67"/>
      <c r="K255" s="140"/>
      <c r="L255" s="175"/>
      <c r="M255" s="141"/>
      <c r="N255" s="2"/>
    </row>
    <row r="256" spans="2:14" ht="105">
      <c r="B256" s="6" t="s">
        <v>423</v>
      </c>
      <c r="C256" s="21" t="s">
        <v>186</v>
      </c>
      <c r="D256" s="4" t="s">
        <v>923</v>
      </c>
      <c r="E256" s="27">
        <v>45503</v>
      </c>
      <c r="F256" s="10" t="s">
        <v>424</v>
      </c>
      <c r="G256" s="126" t="s">
        <v>924</v>
      </c>
      <c r="H256" s="139"/>
      <c r="I256" s="67"/>
      <c r="J256" s="67"/>
      <c r="K256" s="140"/>
      <c r="L256" s="175"/>
      <c r="M256" s="141"/>
      <c r="N256" s="2"/>
    </row>
    <row r="257" spans="2:14" ht="135">
      <c r="B257" s="6" t="s">
        <v>451</v>
      </c>
      <c r="C257" s="21" t="s">
        <v>452</v>
      </c>
      <c r="D257" s="4" t="s">
        <v>931</v>
      </c>
      <c r="E257" s="172">
        <v>45541</v>
      </c>
      <c r="F257" s="2"/>
      <c r="G257" s="4" t="s">
        <v>932</v>
      </c>
      <c r="H257" s="4" t="s">
        <v>934</v>
      </c>
      <c r="I257" s="40">
        <v>45499</v>
      </c>
      <c r="J257" s="65" t="s">
        <v>927</v>
      </c>
      <c r="K257" s="46">
        <v>48096</v>
      </c>
      <c r="L257" s="46">
        <v>48096</v>
      </c>
      <c r="M257" s="1" t="s">
        <v>130</v>
      </c>
      <c r="N257" s="2" t="s">
        <v>933</v>
      </c>
    </row>
    <row r="258" spans="2:14" ht="150">
      <c r="B258" s="6" t="s">
        <v>940</v>
      </c>
      <c r="C258" s="21" t="s">
        <v>941</v>
      </c>
      <c r="D258" s="4" t="s">
        <v>942</v>
      </c>
      <c r="E258" s="172">
        <v>45442</v>
      </c>
      <c r="F258" s="188" t="s">
        <v>873</v>
      </c>
      <c r="G258" s="135" t="s">
        <v>943</v>
      </c>
      <c r="H258" s="4"/>
      <c r="I258" s="40"/>
      <c r="J258" s="65"/>
      <c r="K258" s="11">
        <v>3089.52</v>
      </c>
      <c r="L258" s="11">
        <v>3089.52</v>
      </c>
      <c r="M258" s="1" t="s">
        <v>130</v>
      </c>
      <c r="N258" s="2" t="s">
        <v>875</v>
      </c>
    </row>
    <row r="259" spans="2:14" ht="60">
      <c r="B259" s="6" t="s">
        <v>944</v>
      </c>
      <c r="C259" s="21" t="s">
        <v>945</v>
      </c>
      <c r="D259" s="4" t="s">
        <v>947</v>
      </c>
      <c r="E259" s="3">
        <v>45531</v>
      </c>
      <c r="F259" s="1" t="s">
        <v>909</v>
      </c>
      <c r="G259" s="4" t="s">
        <v>948</v>
      </c>
      <c r="H259" s="139"/>
      <c r="I259" s="139"/>
      <c r="J259" s="67"/>
      <c r="K259" s="140">
        <v>3687.36</v>
      </c>
      <c r="L259" s="140">
        <v>3687.36</v>
      </c>
      <c r="M259" s="1" t="s">
        <v>131</v>
      </c>
      <c r="N259" s="2" t="s">
        <v>946</v>
      </c>
    </row>
    <row r="260" spans="2:14" ht="60">
      <c r="B260" s="6" t="s">
        <v>477</v>
      </c>
      <c r="C260" s="13" t="s">
        <v>478</v>
      </c>
      <c r="D260" s="4" t="s">
        <v>951</v>
      </c>
      <c r="E260" s="112">
        <v>45548</v>
      </c>
      <c r="F260" s="40" t="s">
        <v>547</v>
      </c>
      <c r="G260" s="5" t="s">
        <v>952</v>
      </c>
      <c r="H260" s="11"/>
      <c r="I260" s="105"/>
      <c r="J260" s="73"/>
      <c r="K260" s="45"/>
      <c r="L260" s="45"/>
      <c r="M260" s="30" t="s">
        <v>130</v>
      </c>
      <c r="N260" s="2" t="s">
        <v>953</v>
      </c>
    </row>
    <row r="261" spans="2:14" ht="60">
      <c r="B261" s="6" t="s">
        <v>944</v>
      </c>
      <c r="C261" s="21" t="s">
        <v>945</v>
      </c>
      <c r="D261" s="4" t="s">
        <v>954</v>
      </c>
      <c r="E261" s="3">
        <v>45559</v>
      </c>
      <c r="F261" s="1" t="s">
        <v>909</v>
      </c>
      <c r="G261" s="4" t="s">
        <v>955</v>
      </c>
      <c r="H261" s="139"/>
      <c r="I261" s="139"/>
      <c r="J261" s="67"/>
      <c r="K261" s="140"/>
      <c r="L261" s="141"/>
      <c r="M261" s="1" t="s">
        <v>130</v>
      </c>
      <c r="N261" s="2" t="s">
        <v>956</v>
      </c>
    </row>
    <row r="262" spans="2:14" ht="75">
      <c r="B262" s="6" t="s">
        <v>315</v>
      </c>
      <c r="C262" s="21" t="s">
        <v>316</v>
      </c>
      <c r="D262" s="4" t="s">
        <v>957</v>
      </c>
      <c r="E262" s="29">
        <v>45560</v>
      </c>
      <c r="F262" s="40" t="s">
        <v>552</v>
      </c>
      <c r="G262" s="93" t="s">
        <v>958</v>
      </c>
      <c r="H262" s="61"/>
      <c r="I262" s="94"/>
      <c r="J262" s="73"/>
      <c r="K262" s="51"/>
      <c r="L262" s="51"/>
      <c r="M262" s="30" t="s">
        <v>130</v>
      </c>
      <c r="N262" s="2" t="s">
        <v>959</v>
      </c>
    </row>
  </sheetData>
  <autoFilter ref="B2:N262" xr:uid="{00000000-0001-0000-0000-000000000000}"/>
  <pageMargins left="0.7" right="0.7" top="0.75" bottom="0.75" header="0.3" footer="0.3"/>
  <pageSetup paperSize="9" orientation="portrait" r:id="rId1"/>
  <ignoredErrors>
    <ignoredError sqref="G12:G13 G17 G28 G32 G70 G72 G151 C213:C215 C15:C211 C217:C225 C230:C231 C233:C244 C226:C228 C246:C26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80899-02F7-46BD-9683-94657A05B4A3}">
  <dimension ref="B1:J7"/>
  <sheetViews>
    <sheetView showGridLines="0" zoomScale="70" zoomScaleNormal="70" workbookViewId="0">
      <pane ySplit="1" topLeftCell="A2" activePane="bottomLeft" state="frozen"/>
      <selection pane="bottomLeft" activeCell="H7" sqref="H7"/>
    </sheetView>
  </sheetViews>
  <sheetFormatPr defaultColWidth="20.7109375" defaultRowHeight="80.25" customHeight="1"/>
  <cols>
    <col min="1" max="1" width="4.28515625" customWidth="1"/>
    <col min="2" max="3" width="25.7109375" customWidth="1"/>
    <col min="4" max="4" width="55.85546875" style="8" customWidth="1"/>
    <col min="5" max="5" width="25.7109375" style="7" customWidth="1"/>
    <col min="6" max="6" width="30.7109375" style="7" customWidth="1"/>
    <col min="7" max="7" width="40.7109375" style="22" customWidth="1"/>
    <col min="8" max="8" width="30.7109375" style="18" customWidth="1"/>
    <col min="9" max="9" width="30.7109375" customWidth="1"/>
    <col min="10" max="10" width="22" customWidth="1"/>
  </cols>
  <sheetData>
    <row r="1" spans="2:10" ht="56.25" customHeight="1">
      <c r="C1" s="14"/>
      <c r="D1" s="177" t="s">
        <v>888</v>
      </c>
    </row>
    <row r="2" spans="2:10" ht="80.25" customHeight="1">
      <c r="B2" s="159" t="s">
        <v>732</v>
      </c>
      <c r="C2" s="159" t="s">
        <v>71</v>
      </c>
      <c r="D2" s="159" t="s">
        <v>1</v>
      </c>
      <c r="E2" s="159" t="s">
        <v>2</v>
      </c>
      <c r="F2" s="159" t="s">
        <v>18</v>
      </c>
      <c r="G2" s="171" t="s">
        <v>74</v>
      </c>
      <c r="H2" s="170" t="s">
        <v>889</v>
      </c>
      <c r="I2" s="170" t="s">
        <v>890</v>
      </c>
      <c r="J2" s="159" t="s">
        <v>133</v>
      </c>
    </row>
    <row r="3" spans="2:10" ht="90">
      <c r="B3" s="6" t="s">
        <v>138</v>
      </c>
      <c r="C3" s="13" t="s">
        <v>139</v>
      </c>
      <c r="D3" s="4" t="s">
        <v>343</v>
      </c>
      <c r="E3" s="29">
        <v>43067</v>
      </c>
      <c r="F3" s="4" t="s">
        <v>419</v>
      </c>
      <c r="G3" s="125" t="s">
        <v>420</v>
      </c>
      <c r="H3" s="52"/>
      <c r="I3" s="52">
        <f>2426081.43+252154.04+84051.35+114615.46+114615.46+36600</f>
        <v>3028117.74</v>
      </c>
      <c r="J3" s="30" t="s">
        <v>131</v>
      </c>
    </row>
    <row r="4" spans="2:10" ht="80.25" customHeight="1">
      <c r="B4" s="6" t="s">
        <v>401</v>
      </c>
      <c r="C4" s="95" t="s">
        <v>402</v>
      </c>
      <c r="D4" s="96" t="s">
        <v>403</v>
      </c>
      <c r="E4" s="123">
        <v>44238</v>
      </c>
      <c r="F4" s="29" t="s">
        <v>399</v>
      </c>
      <c r="G4" s="25" t="s">
        <v>400</v>
      </c>
      <c r="H4" s="51"/>
      <c r="I4" s="51">
        <f>31795.07+91200+19007.12+116800</f>
        <v>258802.19</v>
      </c>
      <c r="J4" s="30" t="s">
        <v>130</v>
      </c>
    </row>
    <row r="5" spans="2:10" ht="225">
      <c r="B5" s="6" t="s">
        <v>469</v>
      </c>
      <c r="C5" s="95">
        <v>10926800961</v>
      </c>
      <c r="D5" s="96" t="s">
        <v>470</v>
      </c>
      <c r="E5" s="123" t="s">
        <v>733</v>
      </c>
      <c r="F5" s="31" t="s">
        <v>471</v>
      </c>
      <c r="G5" s="5" t="s">
        <v>472</v>
      </c>
      <c r="H5" s="51">
        <v>422826.62</v>
      </c>
      <c r="I5" s="51">
        <f>43832.03+120441.82+422826.62+46393.4+422826.62-22438.48+422826.62</f>
        <v>1456708.63</v>
      </c>
      <c r="J5" s="30" t="s">
        <v>130</v>
      </c>
    </row>
    <row r="6" spans="2:10" ht="80.25" customHeight="1">
      <c r="B6" s="35" t="s">
        <v>482</v>
      </c>
      <c r="C6" s="95">
        <v>13264231005</v>
      </c>
      <c r="D6" s="96" t="s">
        <v>483</v>
      </c>
      <c r="E6" s="123">
        <v>44476</v>
      </c>
      <c r="F6" s="31" t="s">
        <v>484</v>
      </c>
      <c r="G6" s="134" t="s">
        <v>485</v>
      </c>
      <c r="H6" s="51"/>
      <c r="I6" s="51">
        <f>14952.91+32167.83+7089.65+57187.26</f>
        <v>111397.65000000001</v>
      </c>
      <c r="J6" s="30" t="s">
        <v>130</v>
      </c>
    </row>
    <row r="7" spans="2:10" ht="105">
      <c r="B7" s="6" t="s">
        <v>138</v>
      </c>
      <c r="C7" s="13" t="s">
        <v>139</v>
      </c>
      <c r="D7" s="4" t="s">
        <v>595</v>
      </c>
      <c r="E7" s="26" t="s">
        <v>804</v>
      </c>
      <c r="F7" s="4" t="s">
        <v>803</v>
      </c>
      <c r="G7" s="110" t="s">
        <v>802</v>
      </c>
      <c r="H7" s="52">
        <f>73200+73200+73200</f>
        <v>219600</v>
      </c>
      <c r="I7" s="52">
        <f>171909.11+171909.11+171909.11+85954.56+85954.56+92830.96+92830.96+92830.96+36000+73200+73200+73200</f>
        <v>1221729.3299999998</v>
      </c>
      <c r="J7" s="30" t="s">
        <v>130</v>
      </c>
    </row>
  </sheetData>
  <autoFilter ref="B2:J7" xr:uid="{04080899-02F7-46BD-9683-94657A05B4A3}"/>
  <pageMargins left="0.7" right="0.7" top="0.75" bottom="0.75" header="0.3" footer="0.3"/>
  <pageSetup paperSize="9" orientation="portrait" r:id="rId1"/>
  <ignoredErrors>
    <ignoredError sqref="C3:C4 C7"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Riepilogo Contratti Passivi</vt:lpstr>
      <vt:lpstr>Riepilogo Contratti Attivi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Alfonso De Maio</dc:creator>
  <cp:lastModifiedBy>Alfonso De Maio</cp:lastModifiedBy>
  <dcterms:created xsi:type="dcterms:W3CDTF">2016-10-17T11:15:36Z</dcterms:created>
  <dcterms:modified xsi:type="dcterms:W3CDTF">2024-10-07T15:25:31Z</dcterms:modified>
</cp:coreProperties>
</file>